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defaultThemeVersion="166925"/>
  <mc:AlternateContent xmlns:mc="http://schemas.openxmlformats.org/markup-compatibility/2006">
    <mc:Choice Requires="x15">
      <x15ac:absPath xmlns:x15ac="http://schemas.microsoft.com/office/spreadsheetml/2010/11/ac" url="/Users/trollj01/Dropbox (NYU Langone Health)/Prototropy paper/elife_revisions/file upload/source data/"/>
    </mc:Choice>
  </mc:AlternateContent>
  <xr:revisionPtr revIDLastSave="0" documentId="13_ncr:1_{5E1FEBD3-BC06-F34B-B18F-1F2973C6DDC7}" xr6:coauthVersionLast="36" xr6:coauthVersionMax="36" xr10:uidLastSave="{00000000-0000-0000-0000-000000000000}"/>
  <bookViews>
    <workbookView xWindow="3180" yWindow="2000" windowWidth="27640" windowHeight="16940" xr2:uid="{78D64552-2498-FC42-91DB-9E5917D8B3B0}"/>
  </bookViews>
  <sheets>
    <sheet name="B" sheetId="1" r:id="rId1"/>
    <sheet name="C" sheetId="2" r:id="rId2"/>
    <sheet name="D" sheetId="3" r:id="rId3"/>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G20" i="3" l="1"/>
  <c r="AG21" i="3" s="1"/>
  <c r="AG22" i="3" s="1"/>
  <c r="AF20" i="3"/>
  <c r="AF21" i="3" s="1"/>
  <c r="AF22" i="3" s="1"/>
  <c r="AE20" i="3"/>
  <c r="AE21" i="3" s="1"/>
  <c r="AE22" i="3" s="1"/>
  <c r="AD20" i="3"/>
  <c r="AD21" i="3" s="1"/>
  <c r="AD22" i="3" s="1"/>
  <c r="AC20" i="3"/>
  <c r="AC21" i="3" s="1"/>
  <c r="AC22" i="3" s="1"/>
  <c r="AB20" i="3"/>
  <c r="AB21" i="3" s="1"/>
  <c r="AB22" i="3" s="1"/>
  <c r="AA20" i="3"/>
  <c r="AA21" i="3" s="1"/>
  <c r="AA22" i="3" s="1"/>
  <c r="Z20" i="3"/>
  <c r="Z21" i="3" s="1"/>
  <c r="Z22" i="3" s="1"/>
  <c r="Y20" i="3"/>
  <c r="Y21" i="3" s="1"/>
  <c r="Y22" i="3" s="1"/>
  <c r="X20" i="3"/>
  <c r="X21" i="3" s="1"/>
  <c r="X22" i="3" s="1"/>
  <c r="W20" i="3"/>
  <c r="W21" i="3" s="1"/>
  <c r="W22" i="3" s="1"/>
  <c r="V20" i="3"/>
  <c r="V21" i="3" s="1"/>
  <c r="V22" i="3" s="1"/>
  <c r="U20" i="3"/>
  <c r="U21" i="3" s="1"/>
  <c r="U22" i="3" s="1"/>
  <c r="T20" i="3"/>
  <c r="T21" i="3" s="1"/>
  <c r="T22" i="3" s="1"/>
  <c r="S20" i="3"/>
  <c r="S21" i="3" s="1"/>
  <c r="S22" i="3" s="1"/>
  <c r="R20" i="3"/>
  <c r="R21" i="3" s="1"/>
  <c r="R22" i="3" s="1"/>
  <c r="Q20" i="3"/>
  <c r="Q21" i="3" s="1"/>
  <c r="Q22" i="3" s="1"/>
  <c r="P20" i="3"/>
  <c r="P21" i="3" s="1"/>
  <c r="P22" i="3" s="1"/>
  <c r="O20" i="3"/>
  <c r="O21" i="3" s="1"/>
  <c r="O22" i="3" s="1"/>
  <c r="N20" i="3"/>
  <c r="N21" i="3" s="1"/>
  <c r="N22" i="3" s="1"/>
  <c r="M20" i="3"/>
  <c r="M21" i="3" s="1"/>
  <c r="M22" i="3" s="1"/>
  <c r="L20" i="3"/>
  <c r="L21" i="3" s="1"/>
  <c r="L22" i="3" s="1"/>
  <c r="K20" i="3"/>
  <c r="K21" i="3" s="1"/>
  <c r="K22" i="3" s="1"/>
  <c r="J20" i="3"/>
  <c r="J21" i="3" s="1"/>
  <c r="J22" i="3" s="1"/>
  <c r="I20" i="3"/>
  <c r="I21" i="3" s="1"/>
  <c r="I22" i="3" s="1"/>
  <c r="H20" i="3"/>
  <c r="H21" i="3" s="1"/>
  <c r="H22" i="3" s="1"/>
  <c r="G20" i="3"/>
  <c r="G21" i="3" s="1"/>
  <c r="G22" i="3" s="1"/>
  <c r="F20" i="3"/>
  <c r="F21" i="3" s="1"/>
  <c r="F22" i="3" s="1"/>
  <c r="E20" i="3"/>
  <c r="E21" i="3" s="1"/>
  <c r="E22" i="3" s="1"/>
  <c r="D20" i="3"/>
  <c r="D21" i="3" s="1"/>
  <c r="D22" i="3" s="1"/>
  <c r="C20" i="3"/>
  <c r="C21" i="3" s="1"/>
  <c r="C22" i="3" s="1"/>
  <c r="B20" i="3"/>
  <c r="B21" i="3" s="1"/>
  <c r="B22" i="3" s="1"/>
  <c r="BM14" i="3"/>
  <c r="BL14" i="3"/>
  <c r="BK14" i="3"/>
  <c r="BJ14" i="3"/>
  <c r="BI14" i="3"/>
  <c r="BH14" i="3"/>
  <c r="BG14" i="3"/>
  <c r="BF14" i="3"/>
  <c r="BE14" i="3"/>
  <c r="BD14" i="3"/>
  <c r="BC14" i="3"/>
  <c r="BB14" i="3"/>
  <c r="BA14" i="3"/>
  <c r="AZ14" i="3"/>
  <c r="AY14" i="3"/>
  <c r="AX14" i="3"/>
  <c r="AW14" i="3"/>
  <c r="AV14" i="3"/>
  <c r="AU14" i="3"/>
  <c r="AT14" i="3"/>
  <c r="AS14" i="3"/>
  <c r="AR14" i="3"/>
  <c r="AQ14" i="3"/>
  <c r="AP14" i="3"/>
  <c r="AO14" i="3"/>
  <c r="AN14" i="3"/>
  <c r="AM14" i="3"/>
  <c r="AL14" i="3"/>
  <c r="AK14" i="3"/>
  <c r="AJ14" i="3"/>
  <c r="AI14" i="3"/>
  <c r="AH14" i="3"/>
  <c r="BM13" i="3"/>
  <c r="BL13" i="3"/>
  <c r="BK13" i="3"/>
  <c r="BJ13" i="3"/>
  <c r="BI13" i="3"/>
  <c r="BH13" i="3"/>
  <c r="BG13" i="3"/>
  <c r="BF13" i="3"/>
  <c r="BE13" i="3"/>
  <c r="BD13" i="3"/>
  <c r="BC13" i="3"/>
  <c r="BB13" i="3"/>
  <c r="BA13" i="3"/>
  <c r="AZ13" i="3"/>
  <c r="AY13" i="3"/>
  <c r="AX13" i="3"/>
  <c r="AW13" i="3"/>
  <c r="AV13" i="3"/>
  <c r="AU13" i="3"/>
  <c r="AT13" i="3"/>
  <c r="AS13" i="3"/>
  <c r="AR13" i="3"/>
  <c r="AQ13" i="3"/>
  <c r="AP13" i="3"/>
  <c r="AO13" i="3"/>
  <c r="AN13" i="3"/>
  <c r="AM13" i="3"/>
  <c r="AL13" i="3"/>
  <c r="AK13" i="3"/>
  <c r="AJ13" i="3"/>
  <c r="AI13" i="3"/>
  <c r="AH13" i="3"/>
  <c r="BM12" i="3"/>
  <c r="BL12" i="3"/>
  <c r="BK12" i="3"/>
  <c r="BJ12" i="3"/>
  <c r="BI12" i="3"/>
  <c r="BH12" i="3"/>
  <c r="BG12" i="3"/>
  <c r="BF12" i="3"/>
  <c r="BE12" i="3"/>
  <c r="BD12" i="3"/>
  <c r="BC12" i="3"/>
  <c r="BB12" i="3"/>
  <c r="BA12" i="3"/>
  <c r="AZ12" i="3"/>
  <c r="AY12" i="3"/>
  <c r="AX12" i="3"/>
  <c r="AW12" i="3"/>
  <c r="AV12" i="3"/>
  <c r="AU12" i="3"/>
  <c r="AT12" i="3"/>
  <c r="AS12" i="3"/>
  <c r="AR12" i="3"/>
  <c r="AQ12" i="3"/>
  <c r="AP12" i="3"/>
  <c r="AO12" i="3"/>
  <c r="AN12" i="3"/>
  <c r="AM12" i="3"/>
  <c r="AL12" i="3"/>
  <c r="AK12" i="3"/>
  <c r="AJ12" i="3"/>
  <c r="AI12" i="3"/>
  <c r="AH12" i="3"/>
  <c r="BM11" i="3"/>
  <c r="BL11" i="3"/>
  <c r="BK11" i="3"/>
  <c r="BJ11" i="3"/>
  <c r="BI11" i="3"/>
  <c r="BH11" i="3"/>
  <c r="BG11" i="3"/>
  <c r="BF11" i="3"/>
  <c r="BE11" i="3"/>
  <c r="BD11" i="3"/>
  <c r="BC11" i="3"/>
  <c r="BB11" i="3"/>
  <c r="BA11" i="3"/>
  <c r="AZ11" i="3"/>
  <c r="AY11" i="3"/>
  <c r="AX11" i="3"/>
  <c r="AW11" i="3"/>
  <c r="AV11" i="3"/>
  <c r="AU11" i="3"/>
  <c r="AT11" i="3"/>
  <c r="AS11" i="3"/>
  <c r="AR11" i="3"/>
  <c r="AQ11" i="3"/>
  <c r="AP11" i="3"/>
  <c r="AO11" i="3"/>
  <c r="AN11" i="3"/>
  <c r="AM11" i="3"/>
  <c r="AL11" i="3"/>
  <c r="AK11" i="3"/>
  <c r="AJ11" i="3"/>
  <c r="AI11" i="3"/>
  <c r="AH11" i="3"/>
  <c r="BM10" i="3"/>
  <c r="BL10" i="3"/>
  <c r="BK10" i="3"/>
  <c r="BJ10" i="3"/>
  <c r="BI10" i="3"/>
  <c r="BH10" i="3"/>
  <c r="BG10" i="3"/>
  <c r="BF10" i="3"/>
  <c r="BE10" i="3"/>
  <c r="BD10" i="3"/>
  <c r="BC10" i="3"/>
  <c r="BB10" i="3"/>
  <c r="BA10" i="3"/>
  <c r="AZ10" i="3"/>
  <c r="AY10" i="3"/>
  <c r="AX10" i="3"/>
  <c r="AW10" i="3"/>
  <c r="AV10" i="3"/>
  <c r="AU10" i="3"/>
  <c r="AT10" i="3"/>
  <c r="AS10" i="3"/>
  <c r="AR10" i="3"/>
  <c r="AQ10" i="3"/>
  <c r="AP10" i="3"/>
  <c r="AO10" i="3"/>
  <c r="AN10" i="3"/>
  <c r="AM10" i="3"/>
  <c r="AL10" i="3"/>
  <c r="AK10" i="3"/>
  <c r="AJ10" i="3"/>
  <c r="AI10" i="3"/>
  <c r="AH10" i="3"/>
  <c r="BM9" i="3"/>
  <c r="BL9" i="3"/>
  <c r="BK9" i="3"/>
  <c r="BJ9" i="3"/>
  <c r="BI9" i="3"/>
  <c r="BH9" i="3"/>
  <c r="BG9" i="3"/>
  <c r="BF9" i="3"/>
  <c r="BE9" i="3"/>
  <c r="BD9" i="3"/>
  <c r="BC9" i="3"/>
  <c r="BB9" i="3"/>
  <c r="BA9" i="3"/>
  <c r="AZ9" i="3"/>
  <c r="AY9" i="3"/>
  <c r="AX9" i="3"/>
  <c r="AW9" i="3"/>
  <c r="AV9" i="3"/>
  <c r="AU9" i="3"/>
  <c r="AT9" i="3"/>
  <c r="AS9" i="3"/>
  <c r="AR9" i="3"/>
  <c r="AQ9" i="3"/>
  <c r="AP9" i="3"/>
  <c r="AO9" i="3"/>
  <c r="AN9" i="3"/>
  <c r="AM9" i="3"/>
  <c r="AL9" i="3"/>
  <c r="AK9" i="3"/>
  <c r="AJ9" i="3"/>
  <c r="AI9" i="3"/>
  <c r="AH9" i="3"/>
  <c r="BM8" i="3"/>
  <c r="BL8" i="3"/>
  <c r="BK8" i="3"/>
  <c r="BJ8" i="3"/>
  <c r="BI8" i="3"/>
  <c r="BH8" i="3"/>
  <c r="BG8" i="3"/>
  <c r="BF8" i="3"/>
  <c r="BE8" i="3"/>
  <c r="BD8" i="3"/>
  <c r="BC8" i="3"/>
  <c r="BB8" i="3"/>
  <c r="BA8" i="3"/>
  <c r="AZ8" i="3"/>
  <c r="AY8" i="3"/>
  <c r="AX8" i="3"/>
  <c r="AW8" i="3"/>
  <c r="AV8" i="3"/>
  <c r="AU8" i="3"/>
  <c r="AT8" i="3"/>
  <c r="AS8" i="3"/>
  <c r="AR8" i="3"/>
  <c r="AQ8" i="3"/>
  <c r="AP8" i="3"/>
  <c r="AO8" i="3"/>
  <c r="AN8" i="3"/>
  <c r="AM8" i="3"/>
  <c r="AL8" i="3"/>
  <c r="AK8" i="3"/>
  <c r="AJ8" i="3"/>
  <c r="AI8" i="3"/>
  <c r="AH8" i="3"/>
  <c r="BM7" i="3"/>
  <c r="BL7" i="3"/>
  <c r="BK7" i="3"/>
  <c r="BJ7" i="3"/>
  <c r="BI7" i="3"/>
  <c r="BH7" i="3"/>
  <c r="BG7" i="3"/>
  <c r="BF7" i="3"/>
  <c r="BE7" i="3"/>
  <c r="BD7" i="3"/>
  <c r="BC7" i="3"/>
  <c r="BB7" i="3"/>
  <c r="BA7" i="3"/>
  <c r="AZ7" i="3"/>
  <c r="AY7" i="3"/>
  <c r="AX7" i="3"/>
  <c r="AW7" i="3"/>
  <c r="AV7" i="3"/>
  <c r="AU7" i="3"/>
  <c r="AT7" i="3"/>
  <c r="AS7" i="3"/>
  <c r="AR7" i="3"/>
  <c r="AQ7" i="3"/>
  <c r="AP7" i="3"/>
  <c r="AO7" i="3"/>
  <c r="AN7" i="3"/>
  <c r="AM7" i="3"/>
  <c r="AL7" i="3"/>
  <c r="AK7" i="3"/>
  <c r="AJ7" i="3"/>
  <c r="AI7" i="3"/>
  <c r="AH7" i="3"/>
  <c r="BM6" i="3"/>
  <c r="BL6" i="3"/>
  <c r="BK6" i="3"/>
  <c r="BJ6" i="3"/>
  <c r="BI6" i="3"/>
  <c r="BH6" i="3"/>
  <c r="BG6" i="3"/>
  <c r="BF6" i="3"/>
  <c r="BE6" i="3"/>
  <c r="BD6" i="3"/>
  <c r="BC6" i="3"/>
  <c r="BB6" i="3"/>
  <c r="BA6" i="3"/>
  <c r="AZ6" i="3"/>
  <c r="AY6" i="3"/>
  <c r="AX6" i="3"/>
  <c r="AW6" i="3"/>
  <c r="AV6" i="3"/>
  <c r="AU6" i="3"/>
  <c r="AT6" i="3"/>
  <c r="AS6" i="3"/>
  <c r="AR6" i="3"/>
  <c r="AQ6" i="3"/>
  <c r="AP6" i="3"/>
  <c r="AO6" i="3"/>
  <c r="AN6" i="3"/>
  <c r="AM6" i="3"/>
  <c r="AL6" i="3"/>
  <c r="AK6" i="3"/>
  <c r="AJ6" i="3"/>
  <c r="AI6" i="3"/>
  <c r="AH6" i="3"/>
  <c r="BM5" i="3"/>
  <c r="BL5" i="3"/>
  <c r="BK5" i="3"/>
  <c r="BJ5" i="3"/>
  <c r="BI5" i="3"/>
  <c r="BH5" i="3"/>
  <c r="BG5" i="3"/>
  <c r="BF5" i="3"/>
  <c r="BE5" i="3"/>
  <c r="BD5" i="3"/>
  <c r="BC5" i="3"/>
  <c r="BB5" i="3"/>
  <c r="BA5" i="3"/>
  <c r="AZ5" i="3"/>
  <c r="AY5" i="3"/>
  <c r="AX5" i="3"/>
  <c r="AW5" i="3"/>
  <c r="AV5" i="3"/>
  <c r="AU5" i="3"/>
  <c r="AT5" i="3"/>
  <c r="AS5" i="3"/>
  <c r="AR5" i="3"/>
  <c r="AQ5" i="3"/>
  <c r="AP5" i="3"/>
  <c r="AO5" i="3"/>
  <c r="AN5" i="3"/>
  <c r="AM5" i="3"/>
  <c r="AL5" i="3"/>
  <c r="AK5" i="3"/>
  <c r="AJ5" i="3"/>
  <c r="AI5" i="3"/>
  <c r="AH5" i="3"/>
  <c r="BM4" i="3"/>
  <c r="BL4" i="3"/>
  <c r="BK4" i="3"/>
  <c r="BJ4" i="3"/>
  <c r="BI4" i="3"/>
  <c r="BH4" i="3"/>
  <c r="BG4" i="3"/>
  <c r="BF4" i="3"/>
  <c r="BE4" i="3"/>
  <c r="BD4" i="3"/>
  <c r="BC4" i="3"/>
  <c r="BB4" i="3"/>
  <c r="BA4" i="3"/>
  <c r="AZ4" i="3"/>
  <c r="AY4" i="3"/>
  <c r="AX4" i="3"/>
  <c r="AW4" i="3"/>
  <c r="AV4" i="3"/>
  <c r="AU4" i="3"/>
  <c r="AT4" i="3"/>
  <c r="AS4" i="3"/>
  <c r="AR4" i="3"/>
  <c r="AQ4" i="3"/>
  <c r="AP4" i="3"/>
  <c r="AO4" i="3"/>
  <c r="AN4" i="3"/>
  <c r="AM4" i="3"/>
  <c r="AL4" i="3"/>
  <c r="AK4" i="3"/>
  <c r="AJ4" i="3"/>
  <c r="AI4" i="3"/>
  <c r="AH4" i="3"/>
  <c r="BM3" i="3"/>
  <c r="BL3" i="3"/>
  <c r="BK3" i="3"/>
  <c r="BJ3" i="3"/>
  <c r="BI3" i="3"/>
  <c r="BH3" i="3"/>
  <c r="BG3" i="3"/>
  <c r="BF3" i="3"/>
  <c r="BE3" i="3"/>
  <c r="BD3" i="3"/>
  <c r="BC3" i="3"/>
  <c r="BB3" i="3"/>
  <c r="BA3" i="3"/>
  <c r="AZ3" i="3"/>
  <c r="AY3" i="3"/>
  <c r="AX3" i="3"/>
  <c r="AW3" i="3"/>
  <c r="AV3" i="3"/>
  <c r="AU3" i="3"/>
  <c r="AT3" i="3"/>
  <c r="AS3" i="3"/>
  <c r="AR3" i="3"/>
  <c r="AQ3" i="3"/>
  <c r="AP3" i="3"/>
  <c r="AO3" i="3"/>
  <c r="AN3" i="3"/>
  <c r="AM3" i="3"/>
  <c r="AL3" i="3"/>
  <c r="AK3" i="3"/>
  <c r="AJ3" i="3"/>
  <c r="AI3" i="3"/>
  <c r="AH3" i="3"/>
  <c r="B5" i="2"/>
  <c r="C5" i="2" s="1"/>
  <c r="B6" i="2"/>
  <c r="C6" i="2"/>
  <c r="B10" i="2"/>
  <c r="C10" i="2"/>
  <c r="B11" i="2"/>
  <c r="C11" i="2"/>
  <c r="B12" i="2"/>
  <c r="C12" i="2"/>
  <c r="B13" i="2"/>
  <c r="C13" i="2"/>
  <c r="B14" i="2"/>
  <c r="C14" i="2"/>
  <c r="B15" i="2"/>
  <c r="C15" i="2"/>
  <c r="B19" i="2"/>
  <c r="C19" i="2"/>
  <c r="B20" i="2"/>
  <c r="C20" i="2"/>
  <c r="B21" i="2"/>
  <c r="C21" i="2"/>
  <c r="B22" i="2"/>
  <c r="C22" i="2"/>
  <c r="B23" i="2"/>
  <c r="C23" i="2"/>
  <c r="B24" i="2"/>
  <c r="C24" i="2"/>
  <c r="B28" i="2"/>
  <c r="C28" i="2"/>
  <c r="B29" i="2"/>
  <c r="C29" i="2"/>
  <c r="B30" i="2"/>
  <c r="C30" i="2"/>
  <c r="B31" i="2"/>
  <c r="C31" i="2"/>
  <c r="B32" i="2"/>
  <c r="C32" i="2"/>
  <c r="B33" i="2"/>
  <c r="C33" i="2"/>
  <c r="B37" i="2"/>
  <c r="C37" i="2"/>
  <c r="B38" i="2"/>
  <c r="C38" i="2"/>
  <c r="B39" i="2"/>
  <c r="C39" i="2"/>
  <c r="B40" i="2"/>
  <c r="C40" i="2"/>
  <c r="B41" i="2"/>
  <c r="C41" i="2"/>
  <c r="B42" i="2"/>
  <c r="C42" i="2"/>
  <c r="B49" i="2"/>
  <c r="C49" i="2"/>
  <c r="B50" i="2"/>
  <c r="C50" i="2"/>
  <c r="B51" i="2"/>
  <c r="C51" i="2"/>
  <c r="B55" i="2"/>
  <c r="C55" i="2"/>
  <c r="B56" i="2"/>
  <c r="C56" i="2"/>
  <c r="B57" i="2"/>
  <c r="C57" i="2"/>
  <c r="B58" i="2"/>
  <c r="C58" i="2"/>
  <c r="B59" i="2"/>
  <c r="C59" i="2"/>
  <c r="B60" i="2"/>
  <c r="C60" i="2"/>
  <c r="B64" i="2"/>
  <c r="C64" i="2"/>
  <c r="B65" i="2"/>
  <c r="C65" i="2"/>
  <c r="B66" i="2"/>
  <c r="C66" i="2"/>
  <c r="B67" i="2"/>
  <c r="C67" i="2"/>
  <c r="B68" i="2"/>
  <c r="C68" i="2"/>
  <c r="B69" i="2"/>
  <c r="C69" i="2"/>
  <c r="B76" i="2"/>
  <c r="C76" i="2"/>
  <c r="B77" i="2"/>
  <c r="C77" i="2"/>
  <c r="B78" i="2"/>
  <c r="C78" i="2"/>
  <c r="B82" i="2"/>
  <c r="C82" i="2"/>
  <c r="B83" i="2"/>
  <c r="C83" i="2"/>
  <c r="B84" i="2"/>
  <c r="C84" i="2"/>
  <c r="B85" i="2"/>
  <c r="C85" i="2"/>
  <c r="B86" i="2"/>
  <c r="C86" i="2"/>
  <c r="B87" i="2"/>
  <c r="C87" i="2"/>
  <c r="B91" i="2"/>
  <c r="C91" i="2"/>
  <c r="B92" i="2"/>
  <c r="C92" i="2"/>
  <c r="B93" i="2"/>
  <c r="C93" i="2"/>
  <c r="B94" i="2"/>
  <c r="C94" i="2"/>
  <c r="B95" i="2"/>
  <c r="C95" i="2"/>
  <c r="B96" i="2"/>
  <c r="C96" i="2"/>
  <c r="B103" i="2"/>
  <c r="C103" i="2"/>
  <c r="B104" i="2"/>
  <c r="C104" i="2"/>
  <c r="B105" i="2"/>
  <c r="C105" i="2"/>
  <c r="B109" i="2"/>
  <c r="C109" i="2"/>
  <c r="B110" i="2"/>
  <c r="C110" i="2"/>
  <c r="B111" i="2"/>
  <c r="C111" i="2"/>
  <c r="B112" i="2"/>
  <c r="C112" i="2"/>
  <c r="B113" i="2"/>
  <c r="C113" i="2"/>
  <c r="B114" i="2"/>
  <c r="C114" i="2"/>
  <c r="B121" i="2"/>
  <c r="C121" i="2"/>
  <c r="B122" i="2"/>
  <c r="C122" i="2"/>
  <c r="B123" i="2"/>
  <c r="C123" i="2"/>
  <c r="B128" i="2"/>
  <c r="C128" i="2"/>
  <c r="B130" i="2"/>
  <c r="C130" i="2"/>
  <c r="B131" i="2"/>
  <c r="C131" i="2"/>
  <c r="B132" i="2"/>
  <c r="C132" i="2"/>
  <c r="B136" i="2"/>
  <c r="C136" i="2"/>
  <c r="B137" i="2"/>
  <c r="C137" i="2"/>
  <c r="B138" i="2"/>
  <c r="C138" i="2"/>
  <c r="B142" i="2"/>
  <c r="C142" i="2"/>
  <c r="B144" i="2"/>
  <c r="C144" i="2"/>
  <c r="B145" i="2"/>
  <c r="C145" i="2"/>
  <c r="B146" i="2"/>
  <c r="C146" i="2"/>
  <c r="B147" i="2"/>
  <c r="C147" i="2"/>
  <c r="B151" i="2"/>
  <c r="C151" i="2"/>
  <c r="B152" i="2"/>
  <c r="C152" i="2"/>
  <c r="B153" i="2"/>
  <c r="C153" i="2"/>
  <c r="B157" i="2"/>
  <c r="C157" i="2"/>
  <c r="B158" i="2"/>
  <c r="C158" i="2"/>
  <c r="B159" i="2"/>
  <c r="C159" i="2"/>
  <c r="B160" i="2"/>
  <c r="C160" i="2"/>
  <c r="B161" i="2"/>
  <c r="C161" i="2"/>
  <c r="B162" i="2"/>
  <c r="C162" i="2"/>
  <c r="B5" i="1"/>
  <c r="C5" i="1"/>
  <c r="B6" i="1"/>
  <c r="C6" i="1" s="1"/>
  <c r="B7" i="1"/>
  <c r="C7" i="1" s="1"/>
  <c r="C11" i="1"/>
  <c r="D11" i="1"/>
  <c r="C12" i="1"/>
  <c r="D12" i="1" s="1"/>
  <c r="C13" i="1"/>
  <c r="D13" i="1" s="1"/>
  <c r="C18" i="1"/>
  <c r="D18" i="1"/>
  <c r="C19" i="1"/>
  <c r="D19" i="1"/>
  <c r="C20" i="1"/>
  <c r="D20" i="1" s="1"/>
  <c r="C21" i="1"/>
  <c r="D21" i="1" s="1"/>
  <c r="C22" i="1"/>
  <c r="D22" i="1"/>
  <c r="C23" i="1"/>
  <c r="D23" i="1"/>
  <c r="C24" i="1"/>
  <c r="D24" i="1" s="1"/>
  <c r="C25" i="1"/>
  <c r="D25" i="1" s="1"/>
  <c r="C26" i="1"/>
  <c r="D26" i="1"/>
  <c r="C27" i="1"/>
  <c r="D27" i="1"/>
  <c r="C28" i="1"/>
  <c r="D28" i="1" s="1"/>
  <c r="C29" i="1"/>
  <c r="D29" i="1" s="1"/>
</calcChain>
</file>

<file path=xl/sharedStrings.xml><?xml version="1.0" encoding="utf-8"?>
<sst xmlns="http://schemas.openxmlformats.org/spreadsheetml/2006/main" count="565" uniqueCount="107">
  <si>
    <t>Valine-free RPMI (0.06mM Ile, 0.2mM Leu)</t>
  </si>
  <si>
    <t>Replicate 3</t>
  </si>
  <si>
    <t>Replicate 2</t>
  </si>
  <si>
    <t>Replicate 1</t>
  </si>
  <si>
    <t>Valine-free RPMI (0.2mM Leu)</t>
  </si>
  <si>
    <t>Valine-free RPMI (0.06mM Ile)</t>
  </si>
  <si>
    <t>Valine-free RPMI</t>
  </si>
  <si>
    <t>Actual</t>
  </si>
  <si>
    <t>Count</t>
  </si>
  <si>
    <t>Media</t>
  </si>
  <si>
    <t>On day four, looked like there was a difference between populations with VfM (I) and VfM (IL) looking a lot healthier than their VfM and VfM (L) counterparts. Counted all wells.</t>
  </si>
  <si>
    <t>Complete RPMI</t>
  </si>
  <si>
    <t>On day two, switched media for all VfM populations, and counted complete populations</t>
  </si>
  <si>
    <t>Counted 3 wells and then switched triplicate populations over to valine-free medium RPMI, valine-free RPMI (0.06mM Ile), valine-free RPMI (0.2mM Leu), valine-free RPMI (0.06mM Ile, 0.2mM Leu), and Complete RPMI on Feb 10 2022.</t>
  </si>
  <si>
    <t>RPMI feedback inhibition test, plated 200k pMTIV cells in 6 well plates on Feb 9 2022</t>
  </si>
  <si>
    <t>-</t>
  </si>
  <si>
    <t>pMTIV-ilvD+ well 3</t>
  </si>
  <si>
    <t>pMTIV-ilvD+ well 2</t>
  </si>
  <si>
    <t>pMTIV-ilvD+ well 1</t>
  </si>
  <si>
    <t>pMTIV well 3</t>
  </si>
  <si>
    <t>pMTIV well 2</t>
  </si>
  <si>
    <t>pMTIV well 1</t>
  </si>
  <si>
    <t>Replated (cells)</t>
  </si>
  <si>
    <t>Total</t>
  </si>
  <si>
    <t>On day 36, collected all samples for metabolomics. A proportion of LV cells were also frozen down in H-RPMI VfM / 2x freezing medium. pMTIV cell counts were 50 in 500ul total and had 500ul total trypsinized solution. LV cell counts were 20 ul in 500ul total and had 1000ul total trypsinzed solution</t>
  </si>
  <si>
    <t>On day 34 passaged all LV wells. Collected 200ul LV cells for metabolomics and used 20ul for cell counts. Switched media on pMTIV wells.</t>
  </si>
  <si>
    <t>6well</t>
  </si>
  <si>
    <t>24 well</t>
  </si>
  <si>
    <t>On day 32 passaged all LV wells and tried to replate pMTIV cells on smaller surfaces (24well). Collected 300ul pMTIV for metabolomics and 150ul pMTIV-LV. Used 20ul of each for cell counts.</t>
  </si>
  <si>
    <t>On day 30 passaged all LV wells and replated ~1mil to 6 well plates. Replated wells were plated on paltes coated with 0.1% gelatin</t>
  </si>
  <si>
    <t>Replated (well 1, cell number)</t>
  </si>
  <si>
    <t>Also replated pMTIV well 2 as cell number seemed to be decreasing -- replated on 24well instead. Counted 50ul in 500ul total and replated the remainder (resuspended in 820ul to match cell #/media volume of 6 well plates) in two 24well wells as indicated. Wells 1 and 3 simply had their media changed.</t>
  </si>
  <si>
    <t>On day 28 passaged all LV wells and replated ~1mil to 6 well plates. Replated wells were plated on paltes coated with 0.1% gelatin</t>
  </si>
  <si>
    <t>On day 26 passaged all LV wells (collecting metaoblomics samples only for wells 1 and 2 as 3 had a questionable number of cells available) and replated ~1mil to 6 well plates. Replated wells were plated on paltes coated with 0.1% gelatin</t>
  </si>
  <si>
    <t>On day 24, passaged allwells (200ul for metabolomics, 20ul in 500 for counts) and replated ~1mil or as many as possile to 6 well plates. Replate wells were plated on plates coated with 0.1% gelain.</t>
  </si>
  <si>
    <t>On day 22, passaged LV wells (200ul for metabolomics 20ul in 500 for counts) and replated ~1mil or a many as possible to 6 well plates. Replated cells were plated on plates coated with 0.1% gelatin. pMTIV cells had a media change.</t>
  </si>
  <si>
    <t>On day 20, passaged all wells (200ul for metabolomics, 20ul in 500 for counts) and replated ~1mil or as many as possible to 6 wells plates.. Replated cells were plated on plates coated with 0.1% gelatin.</t>
  </si>
  <si>
    <t>On day 18, passaged all wells (200ul for metaobolomics, 20ul in 500 for counts) and replated ~1mil (or as many cells as possible) to 6 well plates. Replated cells were plated on plates coated with 0.1% gelatin.</t>
  </si>
  <si>
    <t>On day 16 switched media on pMTIV cells and passaged pMTIV-LV cells (200ul for metabolomics, 20ul in 500 for counts) and replated ~1mil to 6 well plates. Replated cells were plated on plates coated with 0.1% gelatin.</t>
  </si>
  <si>
    <t>Dish</t>
  </si>
  <si>
    <t>On day 14 collected samples for 13C metabolomcs (200ul) and cell counts (20ul in 500ul total for pMTIV and 20ul in 500ul total for pMTIV-LV) and replated ~1mil to 6 well plates. Replated cells were plated on plates coated with 0.1% gelatin.</t>
  </si>
  <si>
    <t>On day 12 collected samples for 13C metabolomcs (200ul) and cell counts (25ul in 500ul total for pMTIV and 20ul in 500ul total for pMTIV-LV) and replated ~1mil to 6 well plates. Replated cells were plated on plates coated with 0.1% gelatin.</t>
  </si>
  <si>
    <t>On day 10 switched media on pMTIV cells and counted pMTIV-LV cells (collected 200ul for metabolomics, counted with 25ul in 500ul total and replated the rest)</t>
  </si>
  <si>
    <t>On day 8, collected samples for 13C metabolomics (150ul) and cell counts (50ul in 1000 total for pMTIV and 25 in 500ul total for pMTIV-ilvD+) and replated ~1.2 mil to 6well plate. Replated cells were plated on plates coated with 0.1% gelatin for 30 mins (1x PBS wash after coating)</t>
  </si>
  <si>
    <t>60mm</t>
  </si>
  <si>
    <t>On day 6, collected samples for 13C metabolomics (150ul) and cell counts (50ul in 1000 total for pMTIV and 1000 total for pMTIV-ilvD+) and replated ~3 mil. Replated cells were plated on plates coated with 0.1% gelatin for 30 mins (1x PBS wash after coating)</t>
  </si>
  <si>
    <t>On day 4, collected samples for 13C metabolomics (150ul) and cell counts (50ul in 1200 total for pMTIV and 1000 total for pMTIV-ilvD+) and replated ~3 mil. Replated cells were plated on plates coated with 0.1% gelatin for 30 mins (1x PBS wash after coating)</t>
  </si>
  <si>
    <t>On day 2, collected samples for 13C metabolomics (150ul) and cell counts (50ul in 500 total) and replated the rest (~800ul). Replated cells were plated on plates coated with 0.1% gelatin for 30 mins (1x PBS wash after coating)</t>
  </si>
  <si>
    <t>pMTIV-ilvD+ well 0</t>
  </si>
  <si>
    <t>pMTIV well 0</t>
  </si>
  <si>
    <t>On 3/22/22, switched 3x wells to RPMI valine-free medium (0.06mM Ile) with 13C glucose + 2 mM 12C sodium pyruvate. Counted the last well.</t>
  </si>
  <si>
    <t>Plated 1million pMTIV cells and pMTIV-ilvD+ cells in 4x60mm dishes in complete RPMI medium on 3/21/22</t>
  </si>
  <si>
    <t>Peak Intensities in Samples</t>
  </si>
  <si>
    <t>Percent Fully Labeled</t>
  </si>
  <si>
    <t>Metabolite</t>
  </si>
  <si>
    <t>25         (R)-2,3-Dihydroxy-3-methylbutanoic acid-13C-0</t>
  </si>
  <si>
    <t>26         (R)-2,3-Dihydroxy-3-methylbutanoic acid-13C-1</t>
  </si>
  <si>
    <t>27         (R)-2,3-Dihydroxy-3-methylbutanoic acid-13C-2</t>
  </si>
  <si>
    <t>28         (R)-2,3-Dihydroxy-3-methylbutanoic acid-13C-3</t>
  </si>
  <si>
    <t>29         (R)-2,3-Dihydroxy-3-methylbutanoic acid-13C-4</t>
  </si>
  <si>
    <t>30         (R)-2,3-Dihydroxy-3-methylbutanoic acid-13C-5</t>
  </si>
  <si>
    <t>37         L-Valine-13C-0</t>
  </si>
  <si>
    <t>38         L-Valine-13C-1</t>
  </si>
  <si>
    <t>39         L-Valine-13C-2</t>
  </si>
  <si>
    <t>40         L-Valine-13C-3</t>
  </si>
  <si>
    <t>41         L-Valine-13C-4</t>
  </si>
  <si>
    <t>42         L-Valine-13C-5</t>
  </si>
  <si>
    <t>43         Valine-IS-13C,15N-5,1</t>
  </si>
  <si>
    <t>NA</t>
  </si>
  <si>
    <t>Cell number</t>
  </si>
  <si>
    <t>Extraction volume</t>
  </si>
  <si>
    <t>Moles: Internal standard (Valine-IS-13C,15N-5,1)</t>
  </si>
  <si>
    <t>Moles: Endogenous valine</t>
  </si>
  <si>
    <t>Moles per million cells</t>
  </si>
  <si>
    <t>Picomoles per million cells</t>
  </si>
  <si>
    <t>pMTIV_Day2_Rep1</t>
  </si>
  <si>
    <t>pMTIV_Day2_Rep2</t>
  </si>
  <si>
    <t>pMTIV_Day4_Rep1</t>
  </si>
  <si>
    <t>pMTIV_Day4_Rep2</t>
  </si>
  <si>
    <t>pMTIV_Day12_Rep1</t>
  </si>
  <si>
    <t>pMTIV_Day12_Rep2</t>
  </si>
  <si>
    <t>pMTIV_Day14_Rep1</t>
  </si>
  <si>
    <t>pMTIV_Day14_Rep2</t>
  </si>
  <si>
    <t>pMTIV_Day18_Rep1</t>
  </si>
  <si>
    <t>pMTIV_Day18_Rep2</t>
  </si>
  <si>
    <t>pMTIV_Day24_Rep1</t>
  </si>
  <si>
    <t>pMTIV_Day24_Rep2</t>
  </si>
  <si>
    <t>pMTIV-ilvD+_Day2_Rep1</t>
  </si>
  <si>
    <t>pMTIV-ilvD+_Day2_Rep2</t>
  </si>
  <si>
    <t>pMTIV-ilvD+_Day4_Rep1</t>
  </si>
  <si>
    <t>pMTIV-ilvD+_Day4_Rep2</t>
  </si>
  <si>
    <t>pMTIV-ilvD+_Day8_Rep1</t>
  </si>
  <si>
    <t>pMTIV-ilvD+_Day8_Rep2</t>
  </si>
  <si>
    <t>pMTIV-ilvD+_Day12_Rep1</t>
  </si>
  <si>
    <t>pMTIV-ilvD+_Day12_Rep2</t>
  </si>
  <si>
    <t>pMTIV-ilvD+_Day16_Rep1</t>
  </si>
  <si>
    <t>pMTIV-ilvD+_Day16_Rep2</t>
  </si>
  <si>
    <t>pMTIV-ilvD+_Day20_Rep1</t>
  </si>
  <si>
    <t>pMTIV-ilvD+_Day20_Rep2</t>
  </si>
  <si>
    <t>pMTIV-ilvD+_Day24_Rep1</t>
  </si>
  <si>
    <t>pMTIV-ilvD+_Day24_Rep2</t>
  </si>
  <si>
    <t>pMTIV-ilvD+_Day28_Rep1</t>
  </si>
  <si>
    <t>pMTIV-ilvD+_Day28_Rep2</t>
  </si>
  <si>
    <t>pMTIV-ilvD+_Day32_Rep1</t>
  </si>
  <si>
    <t>pMTIV-ilvD+_Day32_Rep2</t>
  </si>
  <si>
    <t>pMTIV-ilvD+_Day36_Rep1</t>
  </si>
  <si>
    <t>pMTIV-ilvD+_Day36_Rep2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</si>
</sst>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
    <numFmt numFmtId="166" formatCode="0.0"/>
  </numFmts>
  <fonts count="4">
    <font>
      <sz val="11"/>
      <color theme="1"/>
      <name val="Calibri"/>
      <family val="2"/>
      <scheme val="minor"/>
    </font>
    <font>
      <b/>
      <sz val="12"/>
      <color theme="1"/>
      <name val="Calibri"/>
      <family val="2"/>
      <scheme val="minor"/>
    </font>
    <font>
      <u/>
      <sz val="12"/>
      <color theme="1"/>
      <name val="Calibri"/>
      <family val="2"/>
      <scheme val="minor"/>
    </font>
    <font>
      <b/>
      <sz val="11"/>
      <color theme="1"/>
      <name val="Calibri"/>
      <family val="2"/>
      <scheme val="minor"/>
    </font>
  </fonts>
  <fills count="3">
    <fill>
      <patternFill patternType="none"/>
    </fill>
    <fill>
      <patternFill patternType="gray125"/>
    </fill>
    <fill>
      <patternFill patternType="solid">
        <fgColor theme="2"/>
        <bgColor indexed="64"/>
      </patternFill>
    </fill>
  </fills>
  <borders count="3">
    <border>
      <left/>
      <right/>
      <top/>
      <bottom/>
      <diagonal/>
    </border>
    <border>
      <left/>
      <right style="thin">
        <color indexed="64"/>
      </right>
      <top/>
      <bottom/>
      <diagonal/>
    </border>
    <border>
      <left style="thin">
        <color indexed="64"/>
      </left>
      <right/>
      <top/>
      <bottom/>
      <diagonal/>
    </border>
  </borders>
  <cellStyleXfs count="1">
    <xf numFmtId="0" fontId="0" fillId="0" borderId="0"/>
  </cellStyleXfs>
  <cellXfs count="34">
    <xf numFmtId="0" fontId="0" fillId="0" borderId="0" xfId="0"/>
    <xf numFmtId="11" fontId="0" fillId="0" borderId="0" xfId="0" applyNumberFormat="1"/>
    <xf numFmtId="0" fontId="2" fillId="0" borderId="0" xfId="0" applyFont="1"/>
    <xf numFmtId="164" fontId="0" fillId="0" borderId="0" xfId="0" applyNumberFormat="1"/>
    <xf numFmtId="0" fontId="1" fillId="0" borderId="0" xfId="0" applyFont="1"/>
    <xf numFmtId="0" fontId="3" fillId="0" borderId="0" xfId="0" applyFont="1"/>
    <xf numFmtId="0" fontId="3" fillId="0" borderId="0"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center"/>
    </xf>
    <xf numFmtId="0" fontId="0" fillId="0" borderId="0" xfId="0" applyBorder="1" applyAlignment="1">
      <alignment horizontal="center"/>
    </xf>
    <xf numFmtId="0" fontId="0" fillId="0" borderId="1" xfId="0" applyBorder="1" applyAlignment="1">
      <alignment horizontal="center"/>
    </xf>
    <xf numFmtId="165" fontId="0" fillId="0" borderId="2" xfId="0" applyNumberFormat="1" applyBorder="1" applyAlignment="1">
      <alignment horizontal="center"/>
    </xf>
    <xf numFmtId="165" fontId="0" fillId="0" borderId="0" xfId="0" applyNumberFormat="1" applyBorder="1" applyAlignment="1">
      <alignment horizontal="center"/>
    </xf>
    <xf numFmtId="165" fontId="0" fillId="0" borderId="1" xfId="0" applyNumberFormat="1" applyBorder="1" applyAlignment="1">
      <alignment horizontal="center"/>
    </xf>
    <xf numFmtId="0" fontId="0" fillId="2" borderId="0" xfId="0" applyFill="1"/>
    <xf numFmtId="0" fontId="0" fillId="2" borderId="0" xfId="0" applyFill="1" applyBorder="1" applyAlignment="1">
      <alignment horizontal="center"/>
    </xf>
    <xf numFmtId="0" fontId="0" fillId="2" borderId="1" xfId="0" applyFill="1" applyBorder="1" applyAlignment="1">
      <alignment horizontal="center"/>
    </xf>
    <xf numFmtId="165" fontId="0" fillId="2" borderId="2" xfId="0" applyNumberFormat="1" applyFill="1" applyBorder="1" applyAlignment="1">
      <alignment horizontal="center"/>
    </xf>
    <xf numFmtId="165" fontId="0" fillId="2" borderId="0" xfId="0" applyNumberFormat="1" applyFill="1" applyBorder="1" applyAlignment="1">
      <alignment horizontal="center"/>
    </xf>
    <xf numFmtId="165" fontId="0" fillId="2" borderId="1" xfId="0" applyNumberFormat="1" applyFill="1" applyBorder="1" applyAlignment="1">
      <alignment horizontal="center"/>
    </xf>
    <xf numFmtId="0" fontId="0" fillId="0" borderId="0" xfId="0" applyFill="1"/>
    <xf numFmtId="0" fontId="0" fillId="0" borderId="0" xfId="0" applyFill="1" applyBorder="1" applyAlignment="1">
      <alignment horizontal="center"/>
    </xf>
    <xf numFmtId="0" fontId="0" fillId="0" borderId="1" xfId="0" applyFill="1" applyBorder="1" applyAlignment="1">
      <alignment horizontal="center"/>
    </xf>
    <xf numFmtId="0" fontId="0" fillId="0" borderId="2" xfId="0" applyFill="1" applyBorder="1" applyAlignment="1">
      <alignment horizontal="center"/>
    </xf>
    <xf numFmtId="0" fontId="0" fillId="0" borderId="0" xfId="0" applyAlignment="1">
      <alignment horizontal="center"/>
    </xf>
    <xf numFmtId="0" fontId="0" fillId="0" borderId="0" xfId="0" applyAlignment="1"/>
    <xf numFmtId="0" fontId="0" fillId="0" borderId="0" xfId="0" applyBorder="1" applyAlignment="1"/>
    <xf numFmtId="11" fontId="0" fillId="0" borderId="0" xfId="0" applyNumberFormat="1" applyAlignment="1">
      <alignment horizontal="center"/>
    </xf>
    <xf numFmtId="166" fontId="0" fillId="0" borderId="0" xfId="0" applyNumberFormat="1" applyAlignment="1">
      <alignment horizontal="center"/>
    </xf>
    <xf numFmtId="0" fontId="3" fillId="0" borderId="0" xfId="0" applyFont="1" applyBorder="1" applyAlignment="1">
      <alignment horizontal="center"/>
    </xf>
    <xf numFmtId="0" fontId="0" fillId="0" borderId="0" xfId="0" applyBorder="1" applyAlignment="1">
      <alignment horizontal="center"/>
    </xf>
    <xf numFmtId="0" fontId="0" fillId="0" borderId="1" xfId="0" applyBorder="1" applyAlignment="1">
      <alignment horizontal="center"/>
    </xf>
    <xf numFmtId="0" fontId="3" fillId="0" borderId="2" xfId="0" applyFont="1" applyBorder="1" applyAlignment="1">
      <alignment horizontal="center"/>
    </xf>
    <xf numFmtId="0" fontId="3" fillId="0" borderId="1"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7F02C1-3F6D-0B4E-9998-4BEAA94B3CF7}">
  <dimension ref="A1:G29"/>
  <sheetViews>
    <sheetView tabSelected="1" workbookViewId="0">
      <selection activeCell="C44" sqref="C44"/>
    </sheetView>
  </sheetViews>
  <sheetFormatPr baseColWidth="10" defaultRowHeight="15"/>
  <cols>
    <col min="2" max="2" width="24.33203125" customWidth="1"/>
    <col min="7" max="7" width="17" bestFit="1" customWidth="1"/>
  </cols>
  <sheetData>
    <row r="1" spans="1:7">
      <c r="A1" t="s">
        <v>14</v>
      </c>
    </row>
    <row r="3" spans="1:7">
      <c r="A3" t="s">
        <v>13</v>
      </c>
    </row>
    <row r="4" spans="1:7" ht="16">
      <c r="B4" s="2" t="s">
        <v>8</v>
      </c>
      <c r="C4" s="2" t="s">
        <v>7</v>
      </c>
    </row>
    <row r="5" spans="1:7">
      <c r="A5" t="s">
        <v>3</v>
      </c>
      <c r="B5">
        <f>1.711*10^5</f>
        <v>171100</v>
      </c>
      <c r="C5">
        <f>B5*3</f>
        <v>513300</v>
      </c>
    </row>
    <row r="6" spans="1:7">
      <c r="A6" t="s">
        <v>2</v>
      </c>
      <c r="B6">
        <f>1.822*10^5</f>
        <v>182200</v>
      </c>
      <c r="C6">
        <f>B6*3</f>
        <v>546600</v>
      </c>
    </row>
    <row r="7" spans="1:7">
      <c r="A7" t="s">
        <v>1</v>
      </c>
      <c r="B7">
        <f>1.521*10^5</f>
        <v>152100</v>
      </c>
      <c r="C7">
        <f>B7*3</f>
        <v>456300</v>
      </c>
    </row>
    <row r="9" spans="1:7">
      <c r="A9" t="s">
        <v>12</v>
      </c>
    </row>
    <row r="10" spans="1:7" ht="16">
      <c r="B10" s="2" t="s">
        <v>9</v>
      </c>
      <c r="C10" s="2" t="s">
        <v>8</v>
      </c>
      <c r="D10" s="2" t="s">
        <v>7</v>
      </c>
    </row>
    <row r="11" spans="1:7">
      <c r="A11" t="s">
        <v>3</v>
      </c>
      <c r="B11" t="s">
        <v>11</v>
      </c>
      <c r="C11">
        <f>4.659*10^5</f>
        <v>465900</v>
      </c>
      <c r="D11">
        <f>C11*4</f>
        <v>1863600</v>
      </c>
    </row>
    <row r="12" spans="1:7">
      <c r="A12" t="s">
        <v>2</v>
      </c>
      <c r="B12" t="s">
        <v>11</v>
      </c>
      <c r="C12">
        <f>2.314*10^5</f>
        <v>231400</v>
      </c>
      <c r="D12">
        <f>C12*10</f>
        <v>2314000</v>
      </c>
      <c r="G12" s="3"/>
    </row>
    <row r="13" spans="1:7">
      <c r="A13" t="s">
        <v>1</v>
      </c>
      <c r="B13" t="s">
        <v>11</v>
      </c>
      <c r="C13">
        <f>4.901*10^5</f>
        <v>490100</v>
      </c>
      <c r="D13">
        <f>C13*4</f>
        <v>1960400</v>
      </c>
    </row>
    <row r="15" spans="1:7">
      <c r="A15" t="s">
        <v>10</v>
      </c>
    </row>
    <row r="17" spans="1:5" ht="16">
      <c r="B17" s="2" t="s">
        <v>9</v>
      </c>
      <c r="C17" s="2" t="s">
        <v>8</v>
      </c>
      <c r="D17" s="2" t="s">
        <v>7</v>
      </c>
    </row>
    <row r="18" spans="1:5">
      <c r="A18" t="s">
        <v>3</v>
      </c>
      <c r="B18" t="s">
        <v>6</v>
      </c>
      <c r="C18">
        <f>2.834*10^5</f>
        <v>283400</v>
      </c>
      <c r="D18">
        <f>C18</f>
        <v>283400</v>
      </c>
    </row>
    <row r="19" spans="1:5">
      <c r="A19" t="s">
        <v>2</v>
      </c>
      <c r="B19" t="s">
        <v>6</v>
      </c>
      <c r="C19">
        <f>2.724*10^5</f>
        <v>272400</v>
      </c>
      <c r="D19">
        <f>C19</f>
        <v>272400</v>
      </c>
      <c r="E19" s="1"/>
    </row>
    <row r="20" spans="1:5">
      <c r="A20" t="s">
        <v>1</v>
      </c>
      <c r="B20" t="s">
        <v>6</v>
      </c>
      <c r="C20">
        <f>2.385*10^5</f>
        <v>238499.99999999997</v>
      </c>
      <c r="D20">
        <f>C20</f>
        <v>238499.99999999997</v>
      </c>
    </row>
    <row r="21" spans="1:5">
      <c r="A21" t="s">
        <v>3</v>
      </c>
      <c r="B21" t="s">
        <v>5</v>
      </c>
      <c r="C21">
        <f>1.757*10^5</f>
        <v>175700</v>
      </c>
      <c r="D21">
        <f>C21*4</f>
        <v>702800</v>
      </c>
    </row>
    <row r="22" spans="1:5">
      <c r="A22" t="s">
        <v>2</v>
      </c>
      <c r="B22" t="s">
        <v>5</v>
      </c>
      <c r="C22">
        <f>1.943*10^5</f>
        <v>194300</v>
      </c>
      <c r="D22">
        <f>C22*4</f>
        <v>777200</v>
      </c>
      <c r="E22" s="1"/>
    </row>
    <row r="23" spans="1:5">
      <c r="A23" t="s">
        <v>1</v>
      </c>
      <c r="B23" t="s">
        <v>5</v>
      </c>
      <c r="C23">
        <f>2.185*10^5</f>
        <v>218500</v>
      </c>
      <c r="D23">
        <f>C23*4</f>
        <v>874000</v>
      </c>
    </row>
    <row r="24" spans="1:5">
      <c r="A24" t="s">
        <v>3</v>
      </c>
      <c r="B24" t="s">
        <v>4</v>
      </c>
      <c r="C24">
        <f>2.266*10^5</f>
        <v>226600</v>
      </c>
      <c r="D24">
        <f>C24</f>
        <v>226600</v>
      </c>
    </row>
    <row r="25" spans="1:5">
      <c r="A25" t="s">
        <v>2</v>
      </c>
      <c r="B25" t="s">
        <v>4</v>
      </c>
      <c r="C25">
        <f>2.183*10^5</f>
        <v>218299.99999999997</v>
      </c>
      <c r="D25">
        <f>C25</f>
        <v>218299.99999999997</v>
      </c>
      <c r="E25" s="1"/>
    </row>
    <row r="26" spans="1:5">
      <c r="A26" t="s">
        <v>1</v>
      </c>
      <c r="B26" t="s">
        <v>4</v>
      </c>
      <c r="C26">
        <f>2.178*10^5</f>
        <v>217800</v>
      </c>
      <c r="D26">
        <f>C26</f>
        <v>217800</v>
      </c>
    </row>
    <row r="27" spans="1:5">
      <c r="A27" t="s">
        <v>3</v>
      </c>
      <c r="B27" t="s">
        <v>0</v>
      </c>
      <c r="C27">
        <f>1.666*10^5</f>
        <v>166600</v>
      </c>
      <c r="D27">
        <f>C27*4</f>
        <v>666400</v>
      </c>
    </row>
    <row r="28" spans="1:5">
      <c r="A28" t="s">
        <v>2</v>
      </c>
      <c r="B28" t="s">
        <v>0</v>
      </c>
      <c r="C28">
        <f>1.885*10^5</f>
        <v>188500</v>
      </c>
      <c r="D28">
        <f>C28*4</f>
        <v>754000</v>
      </c>
      <c r="E28" s="1"/>
    </row>
    <row r="29" spans="1:5">
      <c r="A29" t="s">
        <v>1</v>
      </c>
      <c r="B29" t="s">
        <v>0</v>
      </c>
      <c r="C29">
        <f>2.117*10^5</f>
        <v>211700</v>
      </c>
      <c r="D29">
        <f>C29*4</f>
        <v>846800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6BB74-1EA4-074F-B158-C30702A5D1C6}">
  <dimension ref="A1:E162"/>
  <sheetViews>
    <sheetView zoomScale="75" workbookViewId="0">
      <selection activeCell="L25" sqref="L25"/>
    </sheetView>
  </sheetViews>
  <sheetFormatPr baseColWidth="10" defaultRowHeight="15"/>
  <cols>
    <col min="4" max="4" width="10.83203125" style="1"/>
  </cols>
  <sheetData>
    <row r="1" spans="1:5" ht="16">
      <c r="A1" s="4" t="s">
        <v>51</v>
      </c>
    </row>
    <row r="2" spans="1:5" ht="16">
      <c r="A2" s="4"/>
    </row>
    <row r="3" spans="1:5" ht="16">
      <c r="A3" s="4" t="s">
        <v>50</v>
      </c>
    </row>
    <row r="4" spans="1:5">
      <c r="B4" t="s">
        <v>8</v>
      </c>
      <c r="C4" t="s">
        <v>23</v>
      </c>
    </row>
    <row r="5" spans="1:5">
      <c r="A5" t="s">
        <v>49</v>
      </c>
      <c r="B5">
        <f>1.014*10^5</f>
        <v>101400</v>
      </c>
      <c r="C5">
        <f>B5*20</f>
        <v>2028000</v>
      </c>
    </row>
    <row r="6" spans="1:5">
      <c r="A6" t="s">
        <v>48</v>
      </c>
      <c r="B6">
        <f>8.908*10^4</f>
        <v>89080</v>
      </c>
      <c r="C6">
        <f>B6*20</f>
        <v>1781600</v>
      </c>
    </row>
    <row r="8" spans="1:5">
      <c r="A8" t="s">
        <v>47</v>
      </c>
    </row>
    <row r="9" spans="1:5">
      <c r="B9" t="s">
        <v>8</v>
      </c>
      <c r="C9" t="s">
        <v>23</v>
      </c>
      <c r="D9" s="1" t="s">
        <v>22</v>
      </c>
      <c r="E9" t="s">
        <v>39</v>
      </c>
    </row>
    <row r="10" spans="1:5">
      <c r="A10" t="s">
        <v>21</v>
      </c>
      <c r="B10" s="1">
        <f>3.39*10^5</f>
        <v>339000</v>
      </c>
      <c r="C10" s="1">
        <f t="shared" ref="C10:C15" si="0">B10*20/2</f>
        <v>3390000</v>
      </c>
      <c r="D10" s="1">
        <v>2712000</v>
      </c>
      <c r="E10" t="s">
        <v>44</v>
      </c>
    </row>
    <row r="11" spans="1:5">
      <c r="A11" t="s">
        <v>20</v>
      </c>
      <c r="B11" s="1">
        <f>3.576*10^5</f>
        <v>357600</v>
      </c>
      <c r="C11" s="1">
        <f t="shared" si="0"/>
        <v>3576000</v>
      </c>
      <c r="D11" s="1">
        <v>2860800</v>
      </c>
      <c r="E11" t="s">
        <v>44</v>
      </c>
    </row>
    <row r="12" spans="1:5">
      <c r="A12" t="s">
        <v>19</v>
      </c>
      <c r="B12" s="1">
        <f>4.032*10^5</f>
        <v>403200</v>
      </c>
      <c r="C12" s="1">
        <f t="shared" si="0"/>
        <v>4032000</v>
      </c>
      <c r="D12" s="1">
        <v>3225600</v>
      </c>
      <c r="E12" t="s">
        <v>44</v>
      </c>
    </row>
    <row r="13" spans="1:5">
      <c r="A13" t="s">
        <v>18</v>
      </c>
      <c r="B13" s="1">
        <f>4.416*10^5</f>
        <v>441600.00000000006</v>
      </c>
      <c r="C13" s="1">
        <f t="shared" si="0"/>
        <v>4416000.0000000009</v>
      </c>
      <c r="D13" s="1">
        <v>3532800.0000000009</v>
      </c>
      <c r="E13" t="s">
        <v>44</v>
      </c>
    </row>
    <row r="14" spans="1:5">
      <c r="A14" t="s">
        <v>17</v>
      </c>
      <c r="B14" s="1">
        <f>4.214*10^5</f>
        <v>421400.00000000006</v>
      </c>
      <c r="C14" s="1">
        <f t="shared" si="0"/>
        <v>4214000.0000000009</v>
      </c>
      <c r="D14" s="1">
        <v>3371200.0000000009</v>
      </c>
      <c r="E14" t="s">
        <v>44</v>
      </c>
    </row>
    <row r="15" spans="1:5">
      <c r="A15" t="s">
        <v>16</v>
      </c>
      <c r="B15" s="1">
        <f>4.435*10^5</f>
        <v>443499.99999999994</v>
      </c>
      <c r="C15" s="1">
        <f t="shared" si="0"/>
        <v>4434999.9999999991</v>
      </c>
      <c r="D15" s="1">
        <v>3547999.9999999995</v>
      </c>
      <c r="E15" t="s">
        <v>44</v>
      </c>
    </row>
    <row r="17" spans="1:5">
      <c r="A17" t="s">
        <v>46</v>
      </c>
    </row>
    <row r="18" spans="1:5">
      <c r="B18" t="s">
        <v>8</v>
      </c>
      <c r="C18" t="s">
        <v>23</v>
      </c>
      <c r="D18" s="1" t="s">
        <v>22</v>
      </c>
      <c r="E18" t="s">
        <v>39</v>
      </c>
    </row>
    <row r="19" spans="1:5">
      <c r="A19" t="s">
        <v>21</v>
      </c>
      <c r="B19" s="1">
        <f>1.698*10^5</f>
        <v>169800</v>
      </c>
      <c r="C19" s="1">
        <f>B19*1.2*20</f>
        <v>4075200</v>
      </c>
      <c r="D19" s="1">
        <v>2992826.8800000004</v>
      </c>
      <c r="E19" t="s">
        <v>44</v>
      </c>
    </row>
    <row r="20" spans="1:5">
      <c r="A20" t="s">
        <v>20</v>
      </c>
      <c r="B20" s="1">
        <f>1.931*10^5</f>
        <v>193100</v>
      </c>
      <c r="C20" s="1">
        <f>B20*1.2*20</f>
        <v>4634400</v>
      </c>
      <c r="D20" s="1">
        <v>2988261.12</v>
      </c>
      <c r="E20" t="s">
        <v>44</v>
      </c>
    </row>
    <row r="21" spans="1:5">
      <c r="A21" t="s">
        <v>19</v>
      </c>
      <c r="B21" s="1">
        <f>2.131*10^5</f>
        <v>213099.99999999997</v>
      </c>
      <c r="C21" s="1">
        <f>B21*1.2*20</f>
        <v>5114399.9999999991</v>
      </c>
      <c r="D21" s="1">
        <v>3007267.1999999993</v>
      </c>
      <c r="E21" t="s">
        <v>44</v>
      </c>
    </row>
    <row r="22" spans="1:5">
      <c r="A22" t="s">
        <v>18</v>
      </c>
      <c r="B22" s="1">
        <f>2.156*10^5</f>
        <v>215600</v>
      </c>
      <c r="C22" s="1">
        <f>B22*20</f>
        <v>4312000</v>
      </c>
      <c r="D22" s="1">
        <v>2997702.4000000004</v>
      </c>
      <c r="E22" t="s">
        <v>44</v>
      </c>
    </row>
    <row r="23" spans="1:5">
      <c r="A23" t="s">
        <v>17</v>
      </c>
      <c r="B23" s="1">
        <f>2.299*10^5</f>
        <v>229900</v>
      </c>
      <c r="C23" s="1">
        <f>B23*20</f>
        <v>4598000</v>
      </c>
      <c r="D23" s="1">
        <v>2990539.1999999997</v>
      </c>
      <c r="E23" t="s">
        <v>44</v>
      </c>
    </row>
    <row r="24" spans="1:5">
      <c r="A24" t="s">
        <v>16</v>
      </c>
      <c r="B24" s="1">
        <f>2.401*10^5</f>
        <v>240099.99999999997</v>
      </c>
      <c r="C24" s="1">
        <f>B24*20</f>
        <v>4801999.9999999991</v>
      </c>
      <c r="D24" s="1">
        <v>3000289.5999999996</v>
      </c>
      <c r="E24" t="s">
        <v>44</v>
      </c>
    </row>
    <row r="26" spans="1:5">
      <c r="A26" t="s">
        <v>45</v>
      </c>
    </row>
    <row r="27" spans="1:5">
      <c r="B27" t="s">
        <v>8</v>
      </c>
      <c r="C27" t="s">
        <v>23</v>
      </c>
      <c r="D27" s="1" t="s">
        <v>22</v>
      </c>
      <c r="E27" t="s">
        <v>39</v>
      </c>
    </row>
    <row r="28" spans="1:5">
      <c r="A28" t="s">
        <v>21</v>
      </c>
      <c r="B28" s="1">
        <f>1.952*10^5</f>
        <v>195200</v>
      </c>
      <c r="C28" s="1">
        <f t="shared" ref="C28:C33" si="1">B28*20</f>
        <v>3904000</v>
      </c>
      <c r="D28" s="1">
        <v>2998272</v>
      </c>
      <c r="E28" t="s">
        <v>44</v>
      </c>
    </row>
    <row r="29" spans="1:5">
      <c r="A29" t="s">
        <v>20</v>
      </c>
      <c r="B29" s="1">
        <f>1.81*10^5</f>
        <v>181000</v>
      </c>
      <c r="C29" s="1">
        <f t="shared" si="1"/>
        <v>3620000</v>
      </c>
      <c r="D29" s="1">
        <v>2896000</v>
      </c>
      <c r="E29" t="s">
        <v>44</v>
      </c>
    </row>
    <row r="30" spans="1:5">
      <c r="A30" t="s">
        <v>19</v>
      </c>
      <c r="B30" s="1">
        <f>1.837*10^5</f>
        <v>183700</v>
      </c>
      <c r="C30" s="1">
        <f t="shared" si="1"/>
        <v>3674000</v>
      </c>
      <c r="D30" s="1">
        <v>2939200</v>
      </c>
      <c r="E30" t="s">
        <v>44</v>
      </c>
    </row>
    <row r="31" spans="1:5">
      <c r="A31" t="s">
        <v>18</v>
      </c>
      <c r="B31" s="1">
        <f>2.4*10^5</f>
        <v>240000</v>
      </c>
      <c r="C31" s="1">
        <f t="shared" si="1"/>
        <v>4800000</v>
      </c>
      <c r="D31" s="1">
        <v>3002880</v>
      </c>
      <c r="E31" t="s">
        <v>44</v>
      </c>
    </row>
    <row r="32" spans="1:5">
      <c r="A32" t="s">
        <v>17</v>
      </c>
      <c r="B32" s="1">
        <f>2.138*10^5</f>
        <v>213800</v>
      </c>
      <c r="C32" s="1">
        <f t="shared" si="1"/>
        <v>4276000</v>
      </c>
      <c r="D32" s="1">
        <v>3003462.4</v>
      </c>
      <c r="E32" t="s">
        <v>44</v>
      </c>
    </row>
    <row r="33" spans="1:5">
      <c r="A33" t="s">
        <v>16</v>
      </c>
      <c r="B33" s="1">
        <f>2.124*10^5</f>
        <v>212400</v>
      </c>
      <c r="C33" s="1">
        <f t="shared" si="1"/>
        <v>4248000</v>
      </c>
      <c r="D33" s="1">
        <v>3010982.4000000004</v>
      </c>
      <c r="E33" t="s">
        <v>44</v>
      </c>
    </row>
    <row r="35" spans="1:5">
      <c r="A35" t="s">
        <v>43</v>
      </c>
      <c r="C35" s="1"/>
    </row>
    <row r="36" spans="1:5">
      <c r="B36" t="s">
        <v>8</v>
      </c>
      <c r="C36" t="s">
        <v>23</v>
      </c>
      <c r="D36" s="1" t="s">
        <v>22</v>
      </c>
      <c r="E36" t="s">
        <v>39</v>
      </c>
    </row>
    <row r="37" spans="1:5">
      <c r="A37" t="s">
        <v>21</v>
      </c>
      <c r="B37" s="1">
        <f>1.159*10^5</f>
        <v>115900</v>
      </c>
      <c r="C37" s="1">
        <f>B37*20</f>
        <v>2318000</v>
      </c>
      <c r="D37" s="1">
        <v>1196088</v>
      </c>
      <c r="E37" t="s">
        <v>26</v>
      </c>
    </row>
    <row r="38" spans="1:5">
      <c r="A38" t="s">
        <v>20</v>
      </c>
      <c r="B38" s="1">
        <f>1.295*10^5</f>
        <v>129500</v>
      </c>
      <c r="C38" s="1">
        <f>B38*20</f>
        <v>2590000</v>
      </c>
      <c r="D38" s="1">
        <v>1197616</v>
      </c>
      <c r="E38" t="s">
        <v>26</v>
      </c>
    </row>
    <row r="39" spans="1:5">
      <c r="A39" t="s">
        <v>19</v>
      </c>
      <c r="B39" s="1">
        <f>1.208*10^5</f>
        <v>120800</v>
      </c>
      <c r="C39" s="1">
        <f>B39*20</f>
        <v>2416000</v>
      </c>
      <c r="D39" s="1">
        <v>1200268.8</v>
      </c>
      <c r="E39" t="s">
        <v>26</v>
      </c>
    </row>
    <row r="40" spans="1:5">
      <c r="A40" t="s">
        <v>18</v>
      </c>
      <c r="B40" s="1">
        <f>1.14*10^5</f>
        <v>113999.99999999999</v>
      </c>
      <c r="C40" s="1">
        <f>B40*40/2</f>
        <v>2279999.9999999995</v>
      </c>
      <c r="D40" s="1">
        <v>1161887.9999999998</v>
      </c>
      <c r="E40" t="s">
        <v>26</v>
      </c>
    </row>
    <row r="41" spans="1:5">
      <c r="A41" t="s">
        <v>17</v>
      </c>
      <c r="B41" s="1">
        <f>1.475*10^5</f>
        <v>147500</v>
      </c>
      <c r="C41" s="1">
        <f>B41*40/2</f>
        <v>2950000</v>
      </c>
      <c r="D41" s="1">
        <v>1163480</v>
      </c>
      <c r="E41" t="s">
        <v>26</v>
      </c>
    </row>
    <row r="42" spans="1:5">
      <c r="A42" t="s">
        <v>16</v>
      </c>
      <c r="B42" s="1">
        <f>1.76*10^5</f>
        <v>176000</v>
      </c>
      <c r="C42" s="1">
        <f>B42*40/2</f>
        <v>3520000</v>
      </c>
      <c r="D42" s="1">
        <v>1154560</v>
      </c>
      <c r="E42" t="s">
        <v>26</v>
      </c>
    </row>
    <row r="44" spans="1:5">
      <c r="A44" t="s">
        <v>42</v>
      </c>
    </row>
    <row r="45" spans="1:5">
      <c r="B45" t="s">
        <v>8</v>
      </c>
      <c r="C45" t="s">
        <v>23</v>
      </c>
      <c r="D45" s="1" t="s">
        <v>22</v>
      </c>
      <c r="E45" t="s">
        <v>39</v>
      </c>
    </row>
    <row r="46" spans="1:5">
      <c r="A46" t="s">
        <v>15</v>
      </c>
    </row>
    <row r="47" spans="1:5">
      <c r="A47" t="s">
        <v>15</v>
      </c>
    </row>
    <row r="48" spans="1:5">
      <c r="A48" t="s">
        <v>15</v>
      </c>
    </row>
    <row r="49" spans="1:5">
      <c r="A49" t="s">
        <v>18</v>
      </c>
      <c r="B49" s="1">
        <f>7.184*10^4</f>
        <v>71840</v>
      </c>
      <c r="C49" s="1">
        <f>B49*40/2</f>
        <v>1436800</v>
      </c>
      <c r="D49" s="1">
        <v>1113520</v>
      </c>
      <c r="E49" t="s">
        <v>26</v>
      </c>
    </row>
    <row r="50" spans="1:5">
      <c r="A50" t="s">
        <v>17</v>
      </c>
      <c r="B50" s="1">
        <f>8.766*10^4</f>
        <v>87660</v>
      </c>
      <c r="C50" s="1">
        <f>B50*40/2</f>
        <v>1753200</v>
      </c>
      <c r="D50" s="1">
        <v>1358730</v>
      </c>
      <c r="E50" t="s">
        <v>26</v>
      </c>
    </row>
    <row r="51" spans="1:5">
      <c r="A51" t="s">
        <v>16</v>
      </c>
      <c r="B51" s="1">
        <f>5.554*10^4</f>
        <v>55540</v>
      </c>
      <c r="C51" s="1">
        <f>B51*40/2</f>
        <v>1110800</v>
      </c>
      <c r="D51" s="1">
        <v>860870</v>
      </c>
      <c r="E51" t="s">
        <v>26</v>
      </c>
    </row>
    <row r="53" spans="1:5">
      <c r="A53" t="s">
        <v>41</v>
      </c>
    </row>
    <row r="54" spans="1:5">
      <c r="B54" t="s">
        <v>8</v>
      </c>
      <c r="C54" t="s">
        <v>23</v>
      </c>
      <c r="D54" s="1" t="s">
        <v>22</v>
      </c>
      <c r="E54" t="s">
        <v>39</v>
      </c>
    </row>
    <row r="55" spans="1:5">
      <c r="A55" t="s">
        <v>21</v>
      </c>
      <c r="B55" s="1">
        <f>6.805*10^4</f>
        <v>68050</v>
      </c>
      <c r="C55" s="1">
        <f>B55*40/2</f>
        <v>1361000</v>
      </c>
      <c r="D55" s="1">
        <v>1004145.8</v>
      </c>
      <c r="E55" t="s">
        <v>26</v>
      </c>
    </row>
    <row r="56" spans="1:5">
      <c r="A56" t="s">
        <v>20</v>
      </c>
      <c r="B56" s="1">
        <f>6.512*10^4</f>
        <v>65119.999999999993</v>
      </c>
      <c r="C56" s="1">
        <f>B56*40/2</f>
        <v>1302399.9999999998</v>
      </c>
      <c r="D56" s="1">
        <v>1009359.9999999999</v>
      </c>
      <c r="E56" t="s">
        <v>26</v>
      </c>
    </row>
    <row r="57" spans="1:5">
      <c r="A57" t="s">
        <v>19</v>
      </c>
      <c r="B57" s="1">
        <f>8.76*10^4</f>
        <v>87600</v>
      </c>
      <c r="C57" s="1">
        <f>B57*40/2</f>
        <v>1752000</v>
      </c>
      <c r="D57" s="1">
        <v>997983.00000000012</v>
      </c>
      <c r="E57" t="s">
        <v>26</v>
      </c>
    </row>
    <row r="58" spans="1:5">
      <c r="A58" t="s">
        <v>18</v>
      </c>
      <c r="B58" s="1">
        <f>6.458*10^4</f>
        <v>64580</v>
      </c>
      <c r="C58" s="1">
        <f>B58*50/2</f>
        <v>1614500</v>
      </c>
      <c r="D58" s="1">
        <v>1007448.0000000002</v>
      </c>
      <c r="E58" t="s">
        <v>26</v>
      </c>
    </row>
    <row r="59" spans="1:5">
      <c r="A59" t="s">
        <v>17</v>
      </c>
      <c r="B59" s="1">
        <f>9.239*10^4</f>
        <v>92390.000000000015</v>
      </c>
      <c r="C59" s="1">
        <f>B59*50/2</f>
        <v>2309750.0000000005</v>
      </c>
      <c r="D59" s="1">
        <v>1001692.3800000004</v>
      </c>
      <c r="E59" t="s">
        <v>26</v>
      </c>
    </row>
    <row r="60" spans="1:5">
      <c r="A60" t="s">
        <v>16</v>
      </c>
      <c r="B60" s="1">
        <f>5.649*10^4</f>
        <v>56490</v>
      </c>
      <c r="C60" s="1">
        <f>B60*50/2</f>
        <v>1412250</v>
      </c>
      <c r="D60" s="1">
        <v>1101555</v>
      </c>
      <c r="E60" t="s">
        <v>26</v>
      </c>
    </row>
    <row r="62" spans="1:5">
      <c r="A62" t="s">
        <v>40</v>
      </c>
    </row>
    <row r="63" spans="1:5">
      <c r="B63" t="s">
        <v>8</v>
      </c>
      <c r="C63" t="s">
        <v>23</v>
      </c>
      <c r="D63" s="1" t="s">
        <v>22</v>
      </c>
      <c r="E63" t="s">
        <v>39</v>
      </c>
    </row>
    <row r="64" spans="1:5">
      <c r="A64" t="s">
        <v>21</v>
      </c>
      <c r="B64">
        <f>6.048*10^4</f>
        <v>60480</v>
      </c>
      <c r="C64" s="1">
        <f t="shared" ref="C64:C69" si="2">B64*50/2</f>
        <v>1512000</v>
      </c>
      <c r="D64" s="1">
        <v>1008352.8</v>
      </c>
      <c r="E64" t="s">
        <v>26</v>
      </c>
    </row>
    <row r="65" spans="1:5">
      <c r="A65" t="s">
        <v>20</v>
      </c>
      <c r="B65">
        <f>5.523*10^4</f>
        <v>55230</v>
      </c>
      <c r="C65" s="1">
        <f t="shared" si="2"/>
        <v>1380750</v>
      </c>
      <c r="D65" s="1">
        <v>1006980.9750000001</v>
      </c>
      <c r="E65" t="s">
        <v>26</v>
      </c>
    </row>
    <row r="66" spans="1:5">
      <c r="A66" t="s">
        <v>19</v>
      </c>
      <c r="B66">
        <f>6.731*10^4</f>
        <v>67310</v>
      </c>
      <c r="C66" s="1">
        <f t="shared" si="2"/>
        <v>1682750</v>
      </c>
      <c r="D66" s="1">
        <v>1009347.105</v>
      </c>
      <c r="E66" t="s">
        <v>26</v>
      </c>
    </row>
    <row r="67" spans="1:5">
      <c r="A67" t="s">
        <v>18</v>
      </c>
      <c r="B67">
        <f>5.756*10^4</f>
        <v>57560</v>
      </c>
      <c r="C67" s="1">
        <f t="shared" si="2"/>
        <v>1439000</v>
      </c>
      <c r="D67" s="1">
        <v>1002321.06</v>
      </c>
      <c r="E67" t="s">
        <v>26</v>
      </c>
    </row>
    <row r="68" spans="1:5">
      <c r="A68" t="s">
        <v>17</v>
      </c>
      <c r="B68">
        <f>5.77*10^4</f>
        <v>57699.999999999993</v>
      </c>
      <c r="C68" s="1">
        <f t="shared" si="2"/>
        <v>1442499.9999999998</v>
      </c>
      <c r="D68" s="1">
        <v>1004758.95</v>
      </c>
      <c r="E68" t="s">
        <v>26</v>
      </c>
    </row>
    <row r="69" spans="1:5">
      <c r="A69" t="s">
        <v>16</v>
      </c>
      <c r="B69">
        <f>6.242*10^4</f>
        <v>62420</v>
      </c>
      <c r="C69" s="1">
        <f t="shared" si="2"/>
        <v>1560500</v>
      </c>
      <c r="D69" s="1">
        <v>1005398.94</v>
      </c>
      <c r="E69" t="s">
        <v>26</v>
      </c>
    </row>
    <row r="71" spans="1:5">
      <c r="A71" t="s">
        <v>38</v>
      </c>
    </row>
    <row r="72" spans="1:5">
      <c r="B72" t="s">
        <v>8</v>
      </c>
      <c r="C72" t="s">
        <v>23</v>
      </c>
      <c r="D72" s="1" t="s">
        <v>22</v>
      </c>
    </row>
    <row r="73" spans="1:5">
      <c r="A73" t="s">
        <v>15</v>
      </c>
    </row>
    <row r="74" spans="1:5">
      <c r="A74" t="s">
        <v>15</v>
      </c>
    </row>
    <row r="75" spans="1:5">
      <c r="A75" t="s">
        <v>15</v>
      </c>
    </row>
    <row r="76" spans="1:5">
      <c r="A76" t="s">
        <v>18</v>
      </c>
      <c r="B76">
        <f>7.626*10^4</f>
        <v>76260</v>
      </c>
      <c r="C76" s="1">
        <f>B76*50/2</f>
        <v>1906500</v>
      </c>
      <c r="D76" s="1">
        <v>1005259.3200000002</v>
      </c>
      <c r="E76" t="s">
        <v>26</v>
      </c>
    </row>
    <row r="77" spans="1:5">
      <c r="A77" t="s">
        <v>17</v>
      </c>
      <c r="B77">
        <f>5.105*10^4</f>
        <v>51050.000000000007</v>
      </c>
      <c r="C77" s="1">
        <f>B77*50/2</f>
        <v>1276250.0000000002</v>
      </c>
      <c r="D77" s="1">
        <v>995475.00000000023</v>
      </c>
      <c r="E77" t="s">
        <v>26</v>
      </c>
    </row>
    <row r="78" spans="1:5">
      <c r="A78" t="s">
        <v>16</v>
      </c>
      <c r="B78">
        <f>6.207*10^4</f>
        <v>62070</v>
      </c>
      <c r="C78" s="1">
        <f>B78*50/2</f>
        <v>1551750</v>
      </c>
      <c r="D78" s="1">
        <v>1009444.41</v>
      </c>
      <c r="E78" t="s">
        <v>26</v>
      </c>
    </row>
    <row r="80" spans="1:5">
      <c r="A80" t="s">
        <v>37</v>
      </c>
    </row>
    <row r="81" spans="1:5">
      <c r="B81" t="s">
        <v>8</v>
      </c>
      <c r="C81" t="s">
        <v>23</v>
      </c>
      <c r="D81" s="1" t="s">
        <v>22</v>
      </c>
    </row>
    <row r="82" spans="1:5">
      <c r="A82" t="s">
        <v>21</v>
      </c>
      <c r="B82">
        <f>9.055*10^4</f>
        <v>90550</v>
      </c>
      <c r="C82" s="1">
        <f t="shared" ref="C82:C87" si="3">B82*50/2</f>
        <v>2263750</v>
      </c>
      <c r="D82" s="1">
        <v>1009994.7</v>
      </c>
      <c r="E82" t="s">
        <v>26</v>
      </c>
    </row>
    <row r="83" spans="1:5">
      <c r="A83" t="s">
        <v>20</v>
      </c>
      <c r="B83">
        <f>6.258*10^4</f>
        <v>62580</v>
      </c>
      <c r="C83" s="1">
        <f t="shared" si="3"/>
        <v>1564500</v>
      </c>
      <c r="D83" s="1">
        <v>1007976.0599999999</v>
      </c>
      <c r="E83" t="s">
        <v>26</v>
      </c>
    </row>
    <row r="84" spans="1:5">
      <c r="A84" t="s">
        <v>19</v>
      </c>
      <c r="B84">
        <f>8.251*10^4</f>
        <v>82510</v>
      </c>
      <c r="C84" s="1">
        <f t="shared" si="3"/>
        <v>2062750</v>
      </c>
      <c r="D84" s="1">
        <v>1005590.6250000001</v>
      </c>
      <c r="E84" t="s">
        <v>26</v>
      </c>
    </row>
    <row r="85" spans="1:5">
      <c r="A85" t="s">
        <v>18</v>
      </c>
      <c r="B85">
        <f>4.613*10^4</f>
        <v>46130.000000000007</v>
      </c>
      <c r="C85" s="1">
        <f t="shared" si="3"/>
        <v>1153250.0000000002</v>
      </c>
      <c r="D85" s="1">
        <v>899535.00000000023</v>
      </c>
      <c r="E85" t="s">
        <v>26</v>
      </c>
    </row>
    <row r="86" spans="1:5">
      <c r="A86" t="s">
        <v>17</v>
      </c>
      <c r="B86">
        <f>7.008*10^4</f>
        <v>70080</v>
      </c>
      <c r="C86" s="1">
        <f t="shared" si="3"/>
        <v>1752000</v>
      </c>
      <c r="D86" s="1">
        <v>1005788.16</v>
      </c>
      <c r="E86" t="s">
        <v>26</v>
      </c>
    </row>
    <row r="87" spans="1:5">
      <c r="A87" t="s">
        <v>16</v>
      </c>
      <c r="B87">
        <f>5.848*10^4</f>
        <v>58480</v>
      </c>
      <c r="C87" s="1">
        <f t="shared" si="3"/>
        <v>1462000</v>
      </c>
      <c r="D87" s="1">
        <v>1010358.9600000001</v>
      </c>
      <c r="E87" t="s">
        <v>26</v>
      </c>
    </row>
    <row r="89" spans="1:5">
      <c r="A89" t="s">
        <v>36</v>
      </c>
    </row>
    <row r="90" spans="1:5">
      <c r="B90" t="s">
        <v>8</v>
      </c>
      <c r="C90" t="s">
        <v>23</v>
      </c>
      <c r="D90" s="1" t="s">
        <v>22</v>
      </c>
    </row>
    <row r="91" spans="1:5">
      <c r="A91" t="s">
        <v>21</v>
      </c>
      <c r="B91">
        <f>5.031*10^4</f>
        <v>50310</v>
      </c>
      <c r="C91" s="1">
        <f t="shared" ref="C91:C96" si="4">B91*50/2</f>
        <v>1257750</v>
      </c>
      <c r="D91" s="1">
        <v>981045</v>
      </c>
      <c r="E91" t="s">
        <v>26</v>
      </c>
    </row>
    <row r="92" spans="1:5">
      <c r="A92" t="s">
        <v>20</v>
      </c>
      <c r="B92">
        <f>5.096*10^4</f>
        <v>50960</v>
      </c>
      <c r="C92" s="1">
        <f t="shared" si="4"/>
        <v>1274000</v>
      </c>
      <c r="D92" s="1">
        <v>993720</v>
      </c>
      <c r="E92" t="s">
        <v>26</v>
      </c>
    </row>
    <row r="93" spans="1:5">
      <c r="A93" t="s">
        <v>19</v>
      </c>
      <c r="B93">
        <f>5.221*10^4</f>
        <v>52210</v>
      </c>
      <c r="C93" s="1">
        <f t="shared" si="4"/>
        <v>1305250</v>
      </c>
      <c r="D93" s="1">
        <v>1018095</v>
      </c>
      <c r="E93" t="s">
        <v>26</v>
      </c>
    </row>
    <row r="94" spans="1:5">
      <c r="A94" t="s">
        <v>18</v>
      </c>
      <c r="B94">
        <f>5.69*10^4</f>
        <v>56900.000000000007</v>
      </c>
      <c r="C94" s="1">
        <f t="shared" si="4"/>
        <v>1422500.0000000002</v>
      </c>
      <c r="D94" s="1">
        <v>1000814.1000000003</v>
      </c>
      <c r="E94" t="s">
        <v>26</v>
      </c>
    </row>
    <row r="95" spans="1:5">
      <c r="A95" t="s">
        <v>17</v>
      </c>
      <c r="B95">
        <f>5.657*10^4</f>
        <v>56570</v>
      </c>
      <c r="C95" s="1">
        <f t="shared" si="4"/>
        <v>1414250</v>
      </c>
      <c r="D95" s="1">
        <v>1003834.6500000001</v>
      </c>
      <c r="E95" t="s">
        <v>26</v>
      </c>
    </row>
    <row r="96" spans="1:5">
      <c r="A96" t="s">
        <v>16</v>
      </c>
      <c r="B96">
        <f>5.723*10^4</f>
        <v>57230</v>
      </c>
      <c r="C96" s="1">
        <f t="shared" si="4"/>
        <v>1430750</v>
      </c>
      <c r="D96" s="1">
        <v>997690.59000000008</v>
      </c>
      <c r="E96" t="s">
        <v>26</v>
      </c>
    </row>
    <row r="98" spans="1:5">
      <c r="A98" t="s">
        <v>35</v>
      </c>
    </row>
    <row r="99" spans="1:5">
      <c r="B99" t="s">
        <v>8</v>
      </c>
      <c r="C99" t="s">
        <v>23</v>
      </c>
      <c r="D99" s="1" t="s">
        <v>22</v>
      </c>
    </row>
    <row r="100" spans="1:5">
      <c r="A100" t="s">
        <v>15</v>
      </c>
      <c r="E100" t="s">
        <v>26</v>
      </c>
    </row>
    <row r="101" spans="1:5">
      <c r="A101" t="s">
        <v>15</v>
      </c>
      <c r="E101" t="s">
        <v>26</v>
      </c>
    </row>
    <row r="102" spans="1:5">
      <c r="A102" t="s">
        <v>15</v>
      </c>
      <c r="E102" t="s">
        <v>26</v>
      </c>
    </row>
    <row r="103" spans="1:5">
      <c r="A103" t="s">
        <v>18</v>
      </c>
      <c r="B103">
        <f>5.484*10^4</f>
        <v>54840</v>
      </c>
      <c r="C103" s="1">
        <f>B103*50/2</f>
        <v>1371000</v>
      </c>
      <c r="D103" s="1">
        <v>1000939.68</v>
      </c>
      <c r="E103" t="s">
        <v>26</v>
      </c>
    </row>
    <row r="104" spans="1:5">
      <c r="A104" t="s">
        <v>17</v>
      </c>
      <c r="B104">
        <f>6.611*10^4</f>
        <v>66110</v>
      </c>
      <c r="C104" s="1">
        <f>B104*50/2</f>
        <v>1652750</v>
      </c>
      <c r="D104" s="1">
        <v>1002954.81</v>
      </c>
      <c r="E104" t="s">
        <v>26</v>
      </c>
    </row>
    <row r="105" spans="1:5">
      <c r="A105" t="s">
        <v>16</v>
      </c>
      <c r="B105">
        <f>6.335*10^4</f>
        <v>63350</v>
      </c>
      <c r="C105" s="1">
        <f>B105*50/2</f>
        <v>1583750</v>
      </c>
      <c r="D105" s="1">
        <v>995671.95000000007</v>
      </c>
      <c r="E105" t="s">
        <v>26</v>
      </c>
    </row>
    <row r="107" spans="1:5">
      <c r="A107" t="s">
        <v>34</v>
      </c>
    </row>
    <row r="108" spans="1:5">
      <c r="B108" t="s">
        <v>8</v>
      </c>
      <c r="C108" t="s">
        <v>23</v>
      </c>
      <c r="D108" s="1" t="s">
        <v>22</v>
      </c>
    </row>
    <row r="109" spans="1:5">
      <c r="A109" t="s">
        <v>21</v>
      </c>
      <c r="B109">
        <f>7.754*10^4</f>
        <v>77540</v>
      </c>
      <c r="C109" s="1">
        <f t="shared" ref="C109:C114" si="5">B109*50/2</f>
        <v>1938500</v>
      </c>
      <c r="D109" s="1">
        <v>1000963.8600000001</v>
      </c>
      <c r="E109" t="s">
        <v>26</v>
      </c>
    </row>
    <row r="110" spans="1:5">
      <c r="A110" t="s">
        <v>20</v>
      </c>
      <c r="B110">
        <f>4.215*10^4</f>
        <v>42150</v>
      </c>
      <c r="C110" s="1">
        <f t="shared" si="5"/>
        <v>1053750</v>
      </c>
      <c r="D110" s="1">
        <v>821925</v>
      </c>
      <c r="E110" t="s">
        <v>26</v>
      </c>
    </row>
    <row r="111" spans="1:5">
      <c r="A111" t="s">
        <v>19</v>
      </c>
      <c r="B111">
        <f>5.098*10^4</f>
        <v>50980</v>
      </c>
      <c r="C111" s="1">
        <f t="shared" si="5"/>
        <v>1274500</v>
      </c>
      <c r="D111" s="1">
        <v>994110</v>
      </c>
      <c r="E111" t="s">
        <v>26</v>
      </c>
    </row>
    <row r="112" spans="1:5">
      <c r="A112" t="s">
        <v>18</v>
      </c>
      <c r="B112">
        <f>4.486*10^4</f>
        <v>44860</v>
      </c>
      <c r="C112" s="1">
        <f t="shared" si="5"/>
        <v>1121500</v>
      </c>
      <c r="D112" s="1">
        <v>874770</v>
      </c>
      <c r="E112" t="s">
        <v>26</v>
      </c>
    </row>
    <row r="113" spans="1:5">
      <c r="A113" t="s">
        <v>17</v>
      </c>
      <c r="B113">
        <f>6.058*10^4</f>
        <v>60580</v>
      </c>
      <c r="C113" s="1">
        <f t="shared" si="5"/>
        <v>1514500</v>
      </c>
      <c r="D113" s="1">
        <v>1000569.5700000001</v>
      </c>
      <c r="E113" t="s">
        <v>26</v>
      </c>
    </row>
    <row r="114" spans="1:5">
      <c r="A114" t="s">
        <v>16</v>
      </c>
      <c r="B114">
        <f>7.339*10^4</f>
        <v>73390</v>
      </c>
      <c r="C114" s="1">
        <f t="shared" si="5"/>
        <v>1834750</v>
      </c>
      <c r="D114" s="1">
        <v>1000342.395</v>
      </c>
      <c r="E114" t="s">
        <v>26</v>
      </c>
    </row>
    <row r="116" spans="1:5">
      <c r="A116" t="s">
        <v>33</v>
      </c>
    </row>
    <row r="117" spans="1:5">
      <c r="B117" t="s">
        <v>8</v>
      </c>
      <c r="C117" t="s">
        <v>23</v>
      </c>
      <c r="D117" s="1" t="s">
        <v>22</v>
      </c>
    </row>
    <row r="118" spans="1:5">
      <c r="A118" t="s">
        <v>15</v>
      </c>
      <c r="E118" t="s">
        <v>26</v>
      </c>
    </row>
    <row r="119" spans="1:5">
      <c r="A119" t="s">
        <v>15</v>
      </c>
      <c r="E119" t="s">
        <v>26</v>
      </c>
    </row>
    <row r="120" spans="1:5">
      <c r="A120" t="s">
        <v>15</v>
      </c>
      <c r="E120" t="s">
        <v>26</v>
      </c>
    </row>
    <row r="121" spans="1:5">
      <c r="A121" t="s">
        <v>18</v>
      </c>
      <c r="B121">
        <f>7.418*10^4</f>
        <v>74180</v>
      </c>
      <c r="C121" s="1">
        <f>B121*50/2</f>
        <v>1854500</v>
      </c>
      <c r="D121" s="1">
        <v>998091.9</v>
      </c>
      <c r="E121" t="s">
        <v>26</v>
      </c>
    </row>
    <row r="122" spans="1:5">
      <c r="A122" t="s">
        <v>17</v>
      </c>
      <c r="B122">
        <f>5.527*10^4</f>
        <v>55270</v>
      </c>
      <c r="C122" s="1">
        <f>B122*50/2</f>
        <v>1381750</v>
      </c>
      <c r="D122" s="1">
        <v>998010.39</v>
      </c>
      <c r="E122" t="s">
        <v>26</v>
      </c>
    </row>
    <row r="123" spans="1:5">
      <c r="A123" t="s">
        <v>16</v>
      </c>
      <c r="B123">
        <f>4.327*10^4</f>
        <v>43270</v>
      </c>
      <c r="C123" s="1">
        <f>B123*50/2</f>
        <v>1081750</v>
      </c>
      <c r="D123" s="1">
        <v>999688.44499999995</v>
      </c>
      <c r="E123" t="s">
        <v>26</v>
      </c>
    </row>
    <row r="125" spans="1:5">
      <c r="A125" t="s">
        <v>32</v>
      </c>
    </row>
    <row r="126" spans="1:5">
      <c r="A126" t="s">
        <v>31</v>
      </c>
    </row>
    <row r="127" spans="1:5">
      <c r="B127" t="s">
        <v>8</v>
      </c>
      <c r="C127" t="s">
        <v>23</v>
      </c>
      <c r="D127" s="1" t="s">
        <v>30</v>
      </c>
    </row>
    <row r="128" spans="1:5">
      <c r="A128" t="s">
        <v>20</v>
      </c>
      <c r="B128">
        <f>3.274*10^4</f>
        <v>32740</v>
      </c>
      <c r="C128">
        <f>B128*20/2</f>
        <v>327400</v>
      </c>
      <c r="D128" s="1">
        <v>189652.43902439025</v>
      </c>
      <c r="E128" t="s">
        <v>27</v>
      </c>
    </row>
    <row r="129" spans="1:5">
      <c r="B129" t="s">
        <v>8</v>
      </c>
      <c r="C129" t="s">
        <v>23</v>
      </c>
      <c r="D129" s="1" t="s">
        <v>22</v>
      </c>
    </row>
    <row r="130" spans="1:5">
      <c r="A130" t="s">
        <v>18</v>
      </c>
      <c r="B130">
        <f>4.916*10^4</f>
        <v>49160.000000000007</v>
      </c>
      <c r="C130" s="1">
        <f>B130*50/2</f>
        <v>1229000.0000000002</v>
      </c>
      <c r="D130" s="1">
        <v>958620.00000000023</v>
      </c>
    </row>
    <row r="131" spans="1:5">
      <c r="A131" t="s">
        <v>17</v>
      </c>
      <c r="B131">
        <f>6.178*10^4</f>
        <v>61780</v>
      </c>
      <c r="C131" s="1">
        <f>B131*50/2</f>
        <v>1544500</v>
      </c>
      <c r="D131" s="1">
        <v>1004728.14</v>
      </c>
    </row>
    <row r="132" spans="1:5">
      <c r="A132" t="s">
        <v>16</v>
      </c>
      <c r="B132">
        <f>6.075*10^4</f>
        <v>60750</v>
      </c>
      <c r="C132" s="1">
        <f>B132*50/2</f>
        <v>1518750</v>
      </c>
      <c r="D132" s="1">
        <v>1004562</v>
      </c>
    </row>
    <row r="134" spans="1:5">
      <c r="A134" t="s">
        <v>29</v>
      </c>
    </row>
    <row r="135" spans="1:5">
      <c r="B135" t="s">
        <v>8</v>
      </c>
      <c r="C135" t="s">
        <v>23</v>
      </c>
      <c r="D135" s="1" t="s">
        <v>22</v>
      </c>
    </row>
    <row r="136" spans="1:5">
      <c r="A136" t="s">
        <v>18</v>
      </c>
      <c r="B136">
        <f>4.756*10^4</f>
        <v>47560</v>
      </c>
      <c r="C136" s="1">
        <f>B136*50/2</f>
        <v>1189000</v>
      </c>
      <c r="D136" s="1">
        <v>927420</v>
      </c>
    </row>
    <row r="137" spans="1:5">
      <c r="A137" t="s">
        <v>17</v>
      </c>
      <c r="B137">
        <f>4.656*10^4</f>
        <v>46560</v>
      </c>
      <c r="C137" s="1">
        <f>B137*50/2</f>
        <v>1164000</v>
      </c>
      <c r="D137" s="1">
        <v>907920</v>
      </c>
    </row>
    <row r="138" spans="1:5">
      <c r="A138" t="s">
        <v>16</v>
      </c>
      <c r="B138">
        <f>5.367*10^4</f>
        <v>53670</v>
      </c>
      <c r="C138" s="1">
        <f>B138*50/2</f>
        <v>1341750</v>
      </c>
      <c r="D138" s="1">
        <v>996329.88</v>
      </c>
    </row>
    <row r="140" spans="1:5">
      <c r="A140" t="s">
        <v>28</v>
      </c>
    </row>
    <row r="141" spans="1:5">
      <c r="B141" t="s">
        <v>8</v>
      </c>
      <c r="C141" t="s">
        <v>23</v>
      </c>
      <c r="D141" s="1" t="s">
        <v>22</v>
      </c>
    </row>
    <row r="142" spans="1:5">
      <c r="A142" t="s">
        <v>21</v>
      </c>
      <c r="B142">
        <f>2.264*10^4</f>
        <v>22639.999999999996</v>
      </c>
      <c r="C142" s="1">
        <f>B142*50/2</f>
        <v>565999.99999999988</v>
      </c>
      <c r="D142" s="1">
        <v>384879.99999999994</v>
      </c>
      <c r="E142" t="s">
        <v>27</v>
      </c>
    </row>
    <row r="143" spans="1:5">
      <c r="A143" t="s">
        <v>20</v>
      </c>
      <c r="B143" t="s">
        <v>15</v>
      </c>
      <c r="C143" s="1"/>
    </row>
    <row r="144" spans="1:5">
      <c r="A144" t="s">
        <v>19</v>
      </c>
      <c r="B144">
        <f>1.65*10^4</f>
        <v>16500</v>
      </c>
      <c r="C144" s="1">
        <f>B144*50/2</f>
        <v>412500</v>
      </c>
      <c r="D144" s="1">
        <v>280500</v>
      </c>
      <c r="E144" t="s">
        <v>27</v>
      </c>
    </row>
    <row r="145" spans="1:5">
      <c r="A145" t="s">
        <v>18</v>
      </c>
      <c r="B145">
        <f>4.633*10^4</f>
        <v>46330</v>
      </c>
      <c r="C145" s="1">
        <f>B145*50/2</f>
        <v>1158250</v>
      </c>
      <c r="D145" s="1">
        <v>949765</v>
      </c>
      <c r="E145" t="s">
        <v>26</v>
      </c>
    </row>
    <row r="146" spans="1:5">
      <c r="A146" t="s">
        <v>17</v>
      </c>
      <c r="B146">
        <f>4.633*10^4</f>
        <v>46330</v>
      </c>
      <c r="C146" s="1">
        <f>B146*50/2</f>
        <v>1158250</v>
      </c>
      <c r="D146" s="1">
        <v>949765</v>
      </c>
      <c r="E146" t="s">
        <v>26</v>
      </c>
    </row>
    <row r="147" spans="1:5">
      <c r="A147" t="s">
        <v>16</v>
      </c>
      <c r="B147">
        <f>4.986*10^4</f>
        <v>49860</v>
      </c>
      <c r="C147" s="1">
        <f>B147*50/2</f>
        <v>1246500</v>
      </c>
      <c r="D147" s="1">
        <v>1001687.4</v>
      </c>
      <c r="E147" t="s">
        <v>26</v>
      </c>
    </row>
    <row r="149" spans="1:5">
      <c r="A149" t="s">
        <v>25</v>
      </c>
    </row>
    <row r="150" spans="1:5">
      <c r="B150" t="s">
        <v>8</v>
      </c>
      <c r="C150" t="s">
        <v>23</v>
      </c>
      <c r="D150" s="1" t="s">
        <v>22</v>
      </c>
    </row>
    <row r="151" spans="1:5">
      <c r="A151" t="s">
        <v>18</v>
      </c>
      <c r="B151">
        <f>4.621*10^4</f>
        <v>46210.000000000007</v>
      </c>
      <c r="C151" s="1">
        <f>B151*50/2</f>
        <v>1155250.0000000002</v>
      </c>
      <c r="D151" s="1">
        <v>901095.00000000023</v>
      </c>
    </row>
    <row r="152" spans="1:5">
      <c r="A152" t="s">
        <v>17</v>
      </c>
      <c r="B152">
        <f>6.541*10^4</f>
        <v>65410.000000000007</v>
      </c>
      <c r="C152" s="1">
        <f>B152*50/2</f>
        <v>1635250.0000000002</v>
      </c>
      <c r="D152" s="1">
        <v>997437.0900000002</v>
      </c>
    </row>
    <row r="153" spans="1:5">
      <c r="A153" t="s">
        <v>16</v>
      </c>
      <c r="B153">
        <f>5.632*10^4</f>
        <v>56320</v>
      </c>
      <c r="C153" s="1">
        <f>B153*50/2</f>
        <v>1408000</v>
      </c>
      <c r="D153" s="1">
        <v>999398.40000000014</v>
      </c>
    </row>
    <row r="155" spans="1:5">
      <c r="A155" t="s">
        <v>24</v>
      </c>
    </row>
    <row r="156" spans="1:5">
      <c r="B156" t="s">
        <v>8</v>
      </c>
      <c r="C156" t="s">
        <v>23</v>
      </c>
      <c r="D156" s="1" t="s">
        <v>22</v>
      </c>
    </row>
    <row r="157" spans="1:5">
      <c r="A157" t="s">
        <v>21</v>
      </c>
      <c r="B157">
        <f>3.206*10^4</f>
        <v>32060</v>
      </c>
      <c r="C157">
        <f>B157*10/2</f>
        <v>160300</v>
      </c>
      <c r="D157" s="1" t="s">
        <v>15</v>
      </c>
    </row>
    <row r="158" spans="1:5">
      <c r="A158" t="s">
        <v>20</v>
      </c>
      <c r="B158">
        <f>1.117*10^4</f>
        <v>11170</v>
      </c>
      <c r="C158">
        <f>B158*10/2</f>
        <v>55850</v>
      </c>
      <c r="D158" s="1" t="s">
        <v>15</v>
      </c>
    </row>
    <row r="159" spans="1:5">
      <c r="A159" t="s">
        <v>19</v>
      </c>
      <c r="B159">
        <f>3.217*10^4</f>
        <v>32170</v>
      </c>
      <c r="C159">
        <f>B159*10/2</f>
        <v>160850</v>
      </c>
      <c r="D159" s="1" t="s">
        <v>15</v>
      </c>
    </row>
    <row r="160" spans="1:5">
      <c r="A160" t="s">
        <v>18</v>
      </c>
      <c r="B160">
        <f>4.253*10^4</f>
        <v>42530</v>
      </c>
      <c r="C160">
        <f>B160*50/2</f>
        <v>1063250</v>
      </c>
      <c r="D160" s="1" t="s">
        <v>15</v>
      </c>
    </row>
    <row r="161" spans="1:4">
      <c r="A161" t="s">
        <v>17</v>
      </c>
      <c r="B161">
        <f>4.119*10^4</f>
        <v>41190</v>
      </c>
      <c r="C161">
        <f>B161*50/2</f>
        <v>1029750</v>
      </c>
      <c r="D161" s="1" t="s">
        <v>15</v>
      </c>
    </row>
    <row r="162" spans="1:4">
      <c r="A162" t="s">
        <v>16</v>
      </c>
      <c r="B162">
        <f>4.241*10^4</f>
        <v>42410</v>
      </c>
      <c r="C162">
        <f>B162*50/2</f>
        <v>1060250</v>
      </c>
      <c r="D162" s="1" t="s">
        <v>15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88308-1432-EF46-8F0E-BF15401C078A}">
  <dimension ref="A1:BM22"/>
  <sheetViews>
    <sheetView zoomScale="50" workbookViewId="0">
      <selection activeCell="AA46" sqref="AA46"/>
    </sheetView>
  </sheetViews>
  <sheetFormatPr baseColWidth="10" defaultColWidth="8.83203125" defaultRowHeight="15"/>
  <cols>
    <col min="1" max="1" width="47" customWidth="1"/>
    <col min="2" max="2" width="12.33203125" style="24" bestFit="1" customWidth="1"/>
    <col min="3" max="29" width="10" style="24" bestFit="1" customWidth="1"/>
    <col min="30" max="33" width="9.5" style="24" bestFit="1" customWidth="1"/>
    <col min="34" max="34" width="10.5" style="24" bestFit="1" customWidth="1"/>
    <col min="35" max="44" width="10.33203125" style="24" bestFit="1" customWidth="1"/>
    <col min="45" max="45" width="10.33203125" style="24" customWidth="1"/>
    <col min="46" max="65" width="10.33203125" style="24" bestFit="1" customWidth="1"/>
  </cols>
  <sheetData>
    <row r="1" spans="1:65">
      <c r="B1" s="29" t="s">
        <v>52</v>
      </c>
      <c r="C1" s="30"/>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1"/>
      <c r="AH1" s="32" t="s">
        <v>53</v>
      </c>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33"/>
    </row>
    <row r="2" spans="1:65" s="5" customFormat="1">
      <c r="A2" s="5" t="s">
        <v>54</v>
      </c>
      <c r="B2" s="6" t="s">
        <v>75</v>
      </c>
      <c r="C2" s="6" t="s">
        <v>76</v>
      </c>
      <c r="D2" s="6" t="s">
        <v>77</v>
      </c>
      <c r="E2" s="6" t="s">
        <v>78</v>
      </c>
      <c r="F2" s="6" t="s">
        <v>79</v>
      </c>
      <c r="G2" s="6" t="s">
        <v>80</v>
      </c>
      <c r="H2" s="6" t="s">
        <v>81</v>
      </c>
      <c r="I2" s="6" t="s">
        <v>82</v>
      </c>
      <c r="J2" s="6" t="s">
        <v>83</v>
      </c>
      <c r="K2" s="6" t="s">
        <v>84</v>
      </c>
      <c r="L2" s="6" t="s">
        <v>85</v>
      </c>
      <c r="M2" s="6" t="s">
        <v>86</v>
      </c>
      <c r="N2" s="6" t="s">
        <v>87</v>
      </c>
      <c r="O2" s="6" t="s">
        <v>88</v>
      </c>
      <c r="P2" s="6" t="s">
        <v>89</v>
      </c>
      <c r="Q2" s="6" t="s">
        <v>90</v>
      </c>
      <c r="R2" s="6" t="s">
        <v>91</v>
      </c>
      <c r="S2" s="6" t="s">
        <v>92</v>
      </c>
      <c r="T2" s="6" t="s">
        <v>93</v>
      </c>
      <c r="U2" s="6" t="s">
        <v>94</v>
      </c>
      <c r="V2" s="6" t="s">
        <v>95</v>
      </c>
      <c r="W2" s="6" t="s">
        <v>96</v>
      </c>
      <c r="X2" s="6" t="s">
        <v>97</v>
      </c>
      <c r="Y2" s="6" t="s">
        <v>98</v>
      </c>
      <c r="Z2" s="6" t="s">
        <v>99</v>
      </c>
      <c r="AA2" s="6" t="s">
        <v>100</v>
      </c>
      <c r="AB2" s="6" t="s">
        <v>101</v>
      </c>
      <c r="AC2" s="6" t="s">
        <v>102</v>
      </c>
      <c r="AD2" s="6" t="s">
        <v>103</v>
      </c>
      <c r="AE2" s="6" t="s">
        <v>104</v>
      </c>
      <c r="AF2" s="6" t="s">
        <v>105</v>
      </c>
      <c r="AG2" s="7" t="s">
        <v>106</v>
      </c>
      <c r="AH2" s="8" t="s">
        <v>75</v>
      </c>
      <c r="AI2" s="6" t="s">
        <v>76</v>
      </c>
      <c r="AJ2" s="6" t="s">
        <v>77</v>
      </c>
      <c r="AK2" s="6" t="s">
        <v>78</v>
      </c>
      <c r="AL2" s="6" t="s">
        <v>79</v>
      </c>
      <c r="AM2" s="6" t="s">
        <v>80</v>
      </c>
      <c r="AN2" s="6" t="s">
        <v>81</v>
      </c>
      <c r="AO2" s="6" t="s">
        <v>82</v>
      </c>
      <c r="AP2" s="6" t="s">
        <v>83</v>
      </c>
      <c r="AQ2" s="6" t="s">
        <v>84</v>
      </c>
      <c r="AR2" s="6" t="s">
        <v>85</v>
      </c>
      <c r="AS2" s="6" t="s">
        <v>86</v>
      </c>
      <c r="AT2" s="6" t="s">
        <v>87</v>
      </c>
      <c r="AU2" s="6" t="s">
        <v>88</v>
      </c>
      <c r="AV2" s="6" t="s">
        <v>89</v>
      </c>
      <c r="AW2" s="6" t="s">
        <v>90</v>
      </c>
      <c r="AX2" s="6" t="s">
        <v>91</v>
      </c>
      <c r="AY2" s="6" t="s">
        <v>92</v>
      </c>
      <c r="AZ2" s="6" t="s">
        <v>93</v>
      </c>
      <c r="BA2" s="6" t="s">
        <v>94</v>
      </c>
      <c r="BB2" s="6" t="s">
        <v>95</v>
      </c>
      <c r="BC2" s="6" t="s">
        <v>96</v>
      </c>
      <c r="BD2" s="6" t="s">
        <v>97</v>
      </c>
      <c r="BE2" s="6" t="s">
        <v>98</v>
      </c>
      <c r="BF2" s="6" t="s">
        <v>99</v>
      </c>
      <c r="BG2" s="6" t="s">
        <v>100</v>
      </c>
      <c r="BH2" s="6" t="s">
        <v>101</v>
      </c>
      <c r="BI2" s="6" t="s">
        <v>102</v>
      </c>
      <c r="BJ2" s="6" t="s">
        <v>103</v>
      </c>
      <c r="BK2" s="6" t="s">
        <v>104</v>
      </c>
      <c r="BL2" s="6" t="s">
        <v>105</v>
      </c>
      <c r="BM2" s="7" t="s">
        <v>106</v>
      </c>
    </row>
    <row r="3" spans="1:65">
      <c r="A3" t="s">
        <v>55</v>
      </c>
      <c r="B3" s="9" t="s">
        <v>15</v>
      </c>
      <c r="C3" s="9" t="s">
        <v>15</v>
      </c>
      <c r="D3" s="9" t="s">
        <v>15</v>
      </c>
      <c r="E3" s="9" t="s">
        <v>15</v>
      </c>
      <c r="F3" s="9" t="s">
        <v>15</v>
      </c>
      <c r="G3" s="9" t="s">
        <v>15</v>
      </c>
      <c r="H3" s="9" t="s">
        <v>15</v>
      </c>
      <c r="I3" s="9" t="s">
        <v>15</v>
      </c>
      <c r="J3" s="9" t="s">
        <v>15</v>
      </c>
      <c r="K3" s="9" t="s">
        <v>15</v>
      </c>
      <c r="L3" s="9" t="s">
        <v>15</v>
      </c>
      <c r="M3" s="9" t="s">
        <v>15</v>
      </c>
      <c r="N3" s="9" t="s">
        <v>15</v>
      </c>
      <c r="O3" s="9" t="s">
        <v>15</v>
      </c>
      <c r="P3" s="9" t="s">
        <v>15</v>
      </c>
      <c r="Q3" s="9" t="s">
        <v>15</v>
      </c>
      <c r="R3" s="9" t="s">
        <v>15</v>
      </c>
      <c r="S3" s="9" t="s">
        <v>15</v>
      </c>
      <c r="T3" s="9" t="s">
        <v>15</v>
      </c>
      <c r="U3" s="9" t="s">
        <v>15</v>
      </c>
      <c r="V3" s="9" t="s">
        <v>15</v>
      </c>
      <c r="W3" s="9" t="s">
        <v>15</v>
      </c>
      <c r="X3" s="9" t="s">
        <v>15</v>
      </c>
      <c r="Y3" s="9" t="s">
        <v>15</v>
      </c>
      <c r="Z3" s="9" t="s">
        <v>15</v>
      </c>
      <c r="AA3" s="9" t="s">
        <v>15</v>
      </c>
      <c r="AB3" s="9" t="s">
        <v>15</v>
      </c>
      <c r="AC3" s="9" t="s">
        <v>15</v>
      </c>
      <c r="AD3" s="9" t="s">
        <v>15</v>
      </c>
      <c r="AE3" s="9" t="s">
        <v>15</v>
      </c>
      <c r="AF3" s="9" t="s">
        <v>15</v>
      </c>
      <c r="AG3" s="10" t="s">
        <v>15</v>
      </c>
      <c r="AH3" s="11">
        <f>IFERROR(SUM(B3)/SUM(B$3:B$8),"-")</f>
        <v>0</v>
      </c>
      <c r="AI3" s="12">
        <f t="shared" ref="AI3:AX8" si="0">IFERROR(SUM(C3)/SUM(C$3:C$8),"-")</f>
        <v>0</v>
      </c>
      <c r="AJ3" s="12">
        <f t="shared" si="0"/>
        <v>0</v>
      </c>
      <c r="AK3" s="12">
        <f t="shared" si="0"/>
        <v>0</v>
      </c>
      <c r="AL3" s="12">
        <f t="shared" si="0"/>
        <v>0</v>
      </c>
      <c r="AM3" s="12">
        <f t="shared" si="0"/>
        <v>0</v>
      </c>
      <c r="AN3" s="12">
        <f t="shared" si="0"/>
        <v>0</v>
      </c>
      <c r="AO3" s="12">
        <f t="shared" si="0"/>
        <v>0</v>
      </c>
      <c r="AP3" s="12">
        <f t="shared" si="0"/>
        <v>0</v>
      </c>
      <c r="AQ3" s="12">
        <f t="shared" si="0"/>
        <v>0</v>
      </c>
      <c r="AR3" s="12">
        <f t="shared" si="0"/>
        <v>0</v>
      </c>
      <c r="AS3" s="12">
        <f t="shared" si="0"/>
        <v>0</v>
      </c>
      <c r="AT3" s="12" t="str">
        <f t="shared" si="0"/>
        <v>-</v>
      </c>
      <c r="AU3" s="12" t="str">
        <f t="shared" si="0"/>
        <v>-</v>
      </c>
      <c r="AV3" s="12" t="str">
        <f t="shared" si="0"/>
        <v>-</v>
      </c>
      <c r="AW3" s="12" t="str">
        <f t="shared" si="0"/>
        <v>-</v>
      </c>
      <c r="AX3" s="12">
        <f t="shared" si="0"/>
        <v>0</v>
      </c>
      <c r="AY3" s="12">
        <f t="shared" ref="AY3:BM8" si="1">IFERROR(SUM(S3)/SUM(S$3:S$8),"-")</f>
        <v>0</v>
      </c>
      <c r="AZ3" s="12" t="str">
        <f t="shared" si="1"/>
        <v>-</v>
      </c>
      <c r="BA3" s="12" t="str">
        <f t="shared" si="1"/>
        <v>-</v>
      </c>
      <c r="BB3" s="12" t="str">
        <f t="shared" si="1"/>
        <v>-</v>
      </c>
      <c r="BC3" s="12" t="str">
        <f t="shared" si="1"/>
        <v>-</v>
      </c>
      <c r="BD3" s="12">
        <f t="shared" si="1"/>
        <v>0</v>
      </c>
      <c r="BE3" s="12">
        <f t="shared" si="1"/>
        <v>0</v>
      </c>
      <c r="BF3" s="12">
        <f t="shared" si="1"/>
        <v>0</v>
      </c>
      <c r="BG3" s="12">
        <f t="shared" si="1"/>
        <v>0</v>
      </c>
      <c r="BH3" s="12">
        <f t="shared" si="1"/>
        <v>0</v>
      </c>
      <c r="BI3" s="12">
        <f t="shared" si="1"/>
        <v>0</v>
      </c>
      <c r="BJ3" s="12">
        <f t="shared" si="1"/>
        <v>0</v>
      </c>
      <c r="BK3" s="12" t="str">
        <f t="shared" si="1"/>
        <v>-</v>
      </c>
      <c r="BL3" s="12" t="str">
        <f t="shared" si="1"/>
        <v>-</v>
      </c>
      <c r="BM3" s="13">
        <f t="shared" si="1"/>
        <v>0</v>
      </c>
    </row>
    <row r="4" spans="1:65">
      <c r="A4" t="s">
        <v>56</v>
      </c>
      <c r="B4" s="9">
        <v>54240</v>
      </c>
      <c r="C4" s="9">
        <v>51599</v>
      </c>
      <c r="D4" s="9">
        <v>43287</v>
      </c>
      <c r="E4" s="9" t="s">
        <v>15</v>
      </c>
      <c r="F4" s="9" t="s">
        <v>15</v>
      </c>
      <c r="G4" s="9" t="s">
        <v>15</v>
      </c>
      <c r="H4" s="9" t="s">
        <v>15</v>
      </c>
      <c r="I4" s="9" t="s">
        <v>15</v>
      </c>
      <c r="J4" s="9" t="s">
        <v>15</v>
      </c>
      <c r="K4" s="9" t="s">
        <v>15</v>
      </c>
      <c r="L4" s="9" t="s">
        <v>15</v>
      </c>
      <c r="M4" s="9" t="s">
        <v>15</v>
      </c>
      <c r="N4" s="9" t="s">
        <v>15</v>
      </c>
      <c r="O4" s="9" t="s">
        <v>15</v>
      </c>
      <c r="P4" s="9" t="s">
        <v>15</v>
      </c>
      <c r="Q4" s="9" t="s">
        <v>15</v>
      </c>
      <c r="R4" s="9" t="s">
        <v>15</v>
      </c>
      <c r="S4" s="9" t="s">
        <v>15</v>
      </c>
      <c r="T4" s="9" t="s">
        <v>15</v>
      </c>
      <c r="U4" s="9" t="s">
        <v>15</v>
      </c>
      <c r="V4" s="9" t="s">
        <v>15</v>
      </c>
      <c r="W4" s="9" t="s">
        <v>15</v>
      </c>
      <c r="X4" s="9" t="s">
        <v>15</v>
      </c>
      <c r="Y4" s="9" t="s">
        <v>15</v>
      </c>
      <c r="Z4" s="9" t="s">
        <v>15</v>
      </c>
      <c r="AA4" s="9" t="s">
        <v>15</v>
      </c>
      <c r="AB4" s="9" t="s">
        <v>15</v>
      </c>
      <c r="AC4" s="9" t="s">
        <v>15</v>
      </c>
      <c r="AD4" s="9" t="s">
        <v>15</v>
      </c>
      <c r="AE4" s="9" t="s">
        <v>15</v>
      </c>
      <c r="AF4" s="9" t="s">
        <v>15</v>
      </c>
      <c r="AG4" s="10" t="s">
        <v>15</v>
      </c>
      <c r="AH4" s="11">
        <f t="shared" ref="AH4:AH8" si="2">IFERROR(SUM(B4)/SUM(B$3:B$8),"-")</f>
        <v>2.9022379229393762E-3</v>
      </c>
      <c r="AI4" s="12">
        <f t="shared" si="0"/>
        <v>2.8760402089361083E-3</v>
      </c>
      <c r="AJ4" s="12">
        <f t="shared" si="0"/>
        <v>4.4362738742956325E-3</v>
      </c>
      <c r="AK4" s="12">
        <f t="shared" si="0"/>
        <v>0</v>
      </c>
      <c r="AL4" s="12">
        <f t="shared" si="0"/>
        <v>0</v>
      </c>
      <c r="AM4" s="12">
        <f t="shared" si="0"/>
        <v>0</v>
      </c>
      <c r="AN4" s="12">
        <f t="shared" si="0"/>
        <v>0</v>
      </c>
      <c r="AO4" s="12">
        <f t="shared" si="0"/>
        <v>0</v>
      </c>
      <c r="AP4" s="12">
        <f t="shared" si="0"/>
        <v>0</v>
      </c>
      <c r="AQ4" s="12">
        <f t="shared" si="0"/>
        <v>0</v>
      </c>
      <c r="AR4" s="12">
        <f t="shared" si="0"/>
        <v>0</v>
      </c>
      <c r="AS4" s="12">
        <f t="shared" si="0"/>
        <v>0</v>
      </c>
      <c r="AT4" s="12" t="str">
        <f t="shared" si="0"/>
        <v>-</v>
      </c>
      <c r="AU4" s="12" t="str">
        <f t="shared" si="0"/>
        <v>-</v>
      </c>
      <c r="AV4" s="12" t="str">
        <f t="shared" si="0"/>
        <v>-</v>
      </c>
      <c r="AW4" s="12" t="str">
        <f t="shared" si="0"/>
        <v>-</v>
      </c>
      <c r="AX4" s="12">
        <f t="shared" si="0"/>
        <v>0</v>
      </c>
      <c r="AY4" s="12">
        <f t="shared" si="1"/>
        <v>0</v>
      </c>
      <c r="AZ4" s="12" t="str">
        <f t="shared" si="1"/>
        <v>-</v>
      </c>
      <c r="BA4" s="12" t="str">
        <f t="shared" si="1"/>
        <v>-</v>
      </c>
      <c r="BB4" s="12" t="str">
        <f t="shared" si="1"/>
        <v>-</v>
      </c>
      <c r="BC4" s="12" t="str">
        <f t="shared" si="1"/>
        <v>-</v>
      </c>
      <c r="BD4" s="12">
        <f t="shared" si="1"/>
        <v>0</v>
      </c>
      <c r="BE4" s="12">
        <f t="shared" si="1"/>
        <v>0</v>
      </c>
      <c r="BF4" s="12">
        <f t="shared" si="1"/>
        <v>0</v>
      </c>
      <c r="BG4" s="12">
        <f t="shared" si="1"/>
        <v>0</v>
      </c>
      <c r="BH4" s="12">
        <f t="shared" si="1"/>
        <v>0</v>
      </c>
      <c r="BI4" s="12">
        <f t="shared" si="1"/>
        <v>0</v>
      </c>
      <c r="BJ4" s="12">
        <f t="shared" si="1"/>
        <v>0</v>
      </c>
      <c r="BK4" s="12" t="str">
        <f t="shared" si="1"/>
        <v>-</v>
      </c>
      <c r="BL4" s="12" t="str">
        <f t="shared" si="1"/>
        <v>-</v>
      </c>
      <c r="BM4" s="13">
        <f t="shared" si="1"/>
        <v>0</v>
      </c>
    </row>
    <row r="5" spans="1:65">
      <c r="A5" t="s">
        <v>57</v>
      </c>
      <c r="B5" s="9">
        <v>3313781</v>
      </c>
      <c r="C5" s="9">
        <v>3172239</v>
      </c>
      <c r="D5" s="9">
        <v>1964912</v>
      </c>
      <c r="E5" s="9">
        <v>1190746</v>
      </c>
      <c r="F5" s="9">
        <v>1553031</v>
      </c>
      <c r="G5" s="9">
        <v>1293060</v>
      </c>
      <c r="H5" s="9">
        <v>122795</v>
      </c>
      <c r="I5" s="9">
        <v>179333</v>
      </c>
      <c r="J5" s="9">
        <v>660530</v>
      </c>
      <c r="K5" s="9">
        <v>265800</v>
      </c>
      <c r="L5" s="9">
        <v>58734</v>
      </c>
      <c r="M5" s="9">
        <v>64091</v>
      </c>
      <c r="N5" s="9" t="s">
        <v>15</v>
      </c>
      <c r="O5" s="9" t="s">
        <v>15</v>
      </c>
      <c r="P5" s="9" t="s">
        <v>15</v>
      </c>
      <c r="Q5" s="9" t="s">
        <v>15</v>
      </c>
      <c r="R5" s="9" t="s">
        <v>15</v>
      </c>
      <c r="S5" s="9">
        <v>143644</v>
      </c>
      <c r="T5" s="9" t="s">
        <v>15</v>
      </c>
      <c r="U5" s="9" t="s">
        <v>15</v>
      </c>
      <c r="V5" s="9" t="s">
        <v>15</v>
      </c>
      <c r="W5" s="9" t="s">
        <v>15</v>
      </c>
      <c r="X5" s="9">
        <v>76541</v>
      </c>
      <c r="Y5" s="9" t="s">
        <v>15</v>
      </c>
      <c r="Z5" s="9" t="s">
        <v>15</v>
      </c>
      <c r="AA5" s="9" t="s">
        <v>15</v>
      </c>
      <c r="AB5" s="9">
        <v>57385</v>
      </c>
      <c r="AC5" s="9" t="s">
        <v>15</v>
      </c>
      <c r="AD5" s="9" t="s">
        <v>15</v>
      </c>
      <c r="AE5" s="9" t="s">
        <v>15</v>
      </c>
      <c r="AF5" s="9" t="s">
        <v>15</v>
      </c>
      <c r="AG5" s="10" t="s">
        <v>15</v>
      </c>
      <c r="AH5" s="11">
        <f t="shared" si="2"/>
        <v>0.17731159451541242</v>
      </c>
      <c r="AI5" s="12">
        <f t="shared" si="0"/>
        <v>0.17681518859581136</v>
      </c>
      <c r="AJ5" s="12">
        <f t="shared" si="0"/>
        <v>0.20137426411832604</v>
      </c>
      <c r="AK5" s="12">
        <f t="shared" si="0"/>
        <v>0.20150495899320117</v>
      </c>
      <c r="AL5" s="12">
        <f t="shared" si="0"/>
        <v>0.16090904230673272</v>
      </c>
      <c r="AM5" s="12">
        <f t="shared" si="0"/>
        <v>0.13811261263185778</v>
      </c>
      <c r="AN5" s="12">
        <f t="shared" si="0"/>
        <v>9.5426194779943518E-2</v>
      </c>
      <c r="AO5" s="12">
        <f t="shared" si="0"/>
        <v>0.14883431804846309</v>
      </c>
      <c r="AP5" s="12">
        <f t="shared" si="0"/>
        <v>0.12196373936212446</v>
      </c>
      <c r="AQ5" s="12">
        <f t="shared" si="0"/>
        <v>0.14338433420957092</v>
      </c>
      <c r="AR5" s="12">
        <f t="shared" si="0"/>
        <v>6.1758758726129653E-2</v>
      </c>
      <c r="AS5" s="12">
        <f t="shared" si="0"/>
        <v>0.19328853797853923</v>
      </c>
      <c r="AT5" s="12" t="str">
        <f t="shared" si="0"/>
        <v>-</v>
      </c>
      <c r="AU5" s="12" t="str">
        <f t="shared" si="0"/>
        <v>-</v>
      </c>
      <c r="AV5" s="12" t="str">
        <f t="shared" si="0"/>
        <v>-</v>
      </c>
      <c r="AW5" s="12" t="str">
        <f t="shared" si="0"/>
        <v>-</v>
      </c>
      <c r="AX5" s="12">
        <f t="shared" si="0"/>
        <v>0</v>
      </c>
      <c r="AY5" s="12">
        <f t="shared" si="1"/>
        <v>9.5584560768434815E-2</v>
      </c>
      <c r="AZ5" s="12" t="str">
        <f t="shared" si="1"/>
        <v>-</v>
      </c>
      <c r="BA5" s="12" t="str">
        <f t="shared" si="1"/>
        <v>-</v>
      </c>
      <c r="BB5" s="12" t="str">
        <f t="shared" si="1"/>
        <v>-</v>
      </c>
      <c r="BC5" s="12" t="str">
        <f t="shared" si="1"/>
        <v>-</v>
      </c>
      <c r="BD5" s="12">
        <f t="shared" si="1"/>
        <v>0.12063028262798479</v>
      </c>
      <c r="BE5" s="12">
        <f t="shared" si="1"/>
        <v>0</v>
      </c>
      <c r="BF5" s="12">
        <f t="shared" si="1"/>
        <v>0</v>
      </c>
      <c r="BG5" s="12">
        <f t="shared" si="1"/>
        <v>0</v>
      </c>
      <c r="BH5" s="12">
        <f t="shared" si="1"/>
        <v>0.10508341115933272</v>
      </c>
      <c r="BI5" s="12">
        <f t="shared" si="1"/>
        <v>0</v>
      </c>
      <c r="BJ5" s="12">
        <f t="shared" si="1"/>
        <v>0</v>
      </c>
      <c r="BK5" s="12" t="str">
        <f t="shared" si="1"/>
        <v>-</v>
      </c>
      <c r="BL5" s="12" t="str">
        <f t="shared" si="1"/>
        <v>-</v>
      </c>
      <c r="BM5" s="13">
        <f t="shared" si="1"/>
        <v>0</v>
      </c>
    </row>
    <row r="6" spans="1:65">
      <c r="A6" t="s">
        <v>58</v>
      </c>
      <c r="B6" s="9">
        <v>3423822</v>
      </c>
      <c r="C6" s="9">
        <v>3279383</v>
      </c>
      <c r="D6" s="9">
        <v>2054582</v>
      </c>
      <c r="E6" s="9">
        <v>1132744</v>
      </c>
      <c r="F6" s="9">
        <v>1668628</v>
      </c>
      <c r="G6" s="9">
        <v>1389284</v>
      </c>
      <c r="H6" s="9">
        <v>100829</v>
      </c>
      <c r="I6" s="9">
        <v>121608</v>
      </c>
      <c r="J6" s="9">
        <v>657426</v>
      </c>
      <c r="K6" s="9">
        <v>222172</v>
      </c>
      <c r="L6" s="9">
        <v>60091</v>
      </c>
      <c r="M6" s="9">
        <v>54661</v>
      </c>
      <c r="N6" s="9" t="s">
        <v>15</v>
      </c>
      <c r="O6" s="9" t="s">
        <v>15</v>
      </c>
      <c r="P6" s="9" t="s">
        <v>15</v>
      </c>
      <c r="Q6" s="9" t="s">
        <v>15</v>
      </c>
      <c r="R6" s="9">
        <v>37748</v>
      </c>
      <c r="S6" s="9">
        <v>76466</v>
      </c>
      <c r="T6" s="9" t="s">
        <v>15</v>
      </c>
      <c r="U6" s="9" t="s">
        <v>15</v>
      </c>
      <c r="V6" s="9" t="s">
        <v>15</v>
      </c>
      <c r="W6" s="9" t="s">
        <v>15</v>
      </c>
      <c r="X6" s="9">
        <v>29526</v>
      </c>
      <c r="Y6" s="9">
        <v>27664</v>
      </c>
      <c r="Z6" s="9">
        <v>17505</v>
      </c>
      <c r="AA6" s="9">
        <v>26272</v>
      </c>
      <c r="AB6" s="9">
        <v>42513</v>
      </c>
      <c r="AC6" s="9">
        <v>11776</v>
      </c>
      <c r="AD6" s="9">
        <v>16709</v>
      </c>
      <c r="AE6" s="9" t="s">
        <v>15</v>
      </c>
      <c r="AF6" s="9" t="s">
        <v>15</v>
      </c>
      <c r="AG6" s="10">
        <v>15514</v>
      </c>
      <c r="AH6" s="11">
        <f t="shared" si="2"/>
        <v>0.18319959531331381</v>
      </c>
      <c r="AI6" s="12">
        <f t="shared" si="0"/>
        <v>0.18278721232003567</v>
      </c>
      <c r="AJ6" s="12">
        <f t="shared" si="0"/>
        <v>0.21056410583311547</v>
      </c>
      <c r="AK6" s="12">
        <f t="shared" si="0"/>
        <v>0.19168952343303666</v>
      </c>
      <c r="AL6" s="12">
        <f t="shared" si="0"/>
        <v>0.17288601028968437</v>
      </c>
      <c r="AM6" s="12">
        <f t="shared" si="0"/>
        <v>0.14839036311357393</v>
      </c>
      <c r="AN6" s="12">
        <f t="shared" si="0"/>
        <v>7.8356022586155177E-2</v>
      </c>
      <c r="AO6" s="12">
        <f t="shared" si="0"/>
        <v>0.10092645385532779</v>
      </c>
      <c r="AP6" s="12">
        <f t="shared" si="0"/>
        <v>0.12139060044794943</v>
      </c>
      <c r="AQ6" s="12">
        <f t="shared" si="0"/>
        <v>0.11984945184352443</v>
      </c>
      <c r="AR6" s="12">
        <f t="shared" si="0"/>
        <v>6.3185643249427201E-2</v>
      </c>
      <c r="AS6" s="12">
        <f t="shared" si="0"/>
        <v>0.16484911726209506</v>
      </c>
      <c r="AT6" s="12" t="str">
        <f t="shared" si="0"/>
        <v>-</v>
      </c>
      <c r="AU6" s="12" t="str">
        <f t="shared" si="0"/>
        <v>-</v>
      </c>
      <c r="AV6" s="12" t="str">
        <f t="shared" si="0"/>
        <v>-</v>
      </c>
      <c r="AW6" s="12" t="str">
        <f t="shared" si="0"/>
        <v>-</v>
      </c>
      <c r="AX6" s="12">
        <f t="shared" si="0"/>
        <v>4.4114931621154783E-2</v>
      </c>
      <c r="AY6" s="12">
        <f t="shared" si="1"/>
        <v>5.0882522233571446E-2</v>
      </c>
      <c r="AZ6" s="12" t="str">
        <f t="shared" si="1"/>
        <v>-</v>
      </c>
      <c r="BA6" s="12" t="str">
        <f t="shared" si="1"/>
        <v>-</v>
      </c>
      <c r="BB6" s="12" t="str">
        <f t="shared" si="1"/>
        <v>-</v>
      </c>
      <c r="BC6" s="12" t="str">
        <f t="shared" si="1"/>
        <v>-</v>
      </c>
      <c r="BD6" s="12">
        <f t="shared" si="1"/>
        <v>4.653361890847884E-2</v>
      </c>
      <c r="BE6" s="12">
        <f t="shared" si="1"/>
        <v>6.1187024741109701E-2</v>
      </c>
      <c r="BF6" s="12">
        <f t="shared" si="1"/>
        <v>1</v>
      </c>
      <c r="BG6" s="12">
        <f t="shared" si="1"/>
        <v>0.16029579553011952</v>
      </c>
      <c r="BH6" s="12">
        <f t="shared" si="1"/>
        <v>7.7849804977201564E-2</v>
      </c>
      <c r="BI6" s="12">
        <f t="shared" si="1"/>
        <v>1</v>
      </c>
      <c r="BJ6" s="12">
        <f t="shared" si="1"/>
        <v>1</v>
      </c>
      <c r="BK6" s="12" t="str">
        <f t="shared" si="1"/>
        <v>-</v>
      </c>
      <c r="BL6" s="12" t="str">
        <f t="shared" si="1"/>
        <v>-</v>
      </c>
      <c r="BM6" s="13">
        <f t="shared" si="1"/>
        <v>1</v>
      </c>
    </row>
    <row r="7" spans="1:65">
      <c r="A7" t="s">
        <v>59</v>
      </c>
      <c r="B7" s="9">
        <v>1045570</v>
      </c>
      <c r="C7" s="9">
        <v>984883</v>
      </c>
      <c r="D7" s="9">
        <v>389764</v>
      </c>
      <c r="E7" s="9">
        <v>133186</v>
      </c>
      <c r="F7" s="9">
        <v>163667</v>
      </c>
      <c r="G7" s="9">
        <v>243752</v>
      </c>
      <c r="H7" s="9" t="s">
        <v>15</v>
      </c>
      <c r="I7" s="9" t="s">
        <v>15</v>
      </c>
      <c r="J7" s="9">
        <v>79912</v>
      </c>
      <c r="K7" s="9" t="s">
        <v>15</v>
      </c>
      <c r="L7" s="9" t="s">
        <v>15</v>
      </c>
      <c r="M7" s="9" t="s">
        <v>15</v>
      </c>
      <c r="N7" s="9" t="s">
        <v>15</v>
      </c>
      <c r="O7" s="9" t="s">
        <v>15</v>
      </c>
      <c r="P7" s="9" t="s">
        <v>15</v>
      </c>
      <c r="Q7" s="9" t="s">
        <v>15</v>
      </c>
      <c r="R7" s="9" t="s">
        <v>15</v>
      </c>
      <c r="S7" s="9" t="s">
        <v>15</v>
      </c>
      <c r="T7" s="9" t="s">
        <v>15</v>
      </c>
      <c r="U7" s="9" t="s">
        <v>15</v>
      </c>
      <c r="V7" s="9" t="s">
        <v>15</v>
      </c>
      <c r="W7" s="9" t="s">
        <v>15</v>
      </c>
      <c r="X7" s="9" t="s">
        <v>15</v>
      </c>
      <c r="Y7" s="9" t="s">
        <v>15</v>
      </c>
      <c r="Z7" s="9" t="s">
        <v>15</v>
      </c>
      <c r="AA7" s="9" t="s">
        <v>15</v>
      </c>
      <c r="AB7" s="9" t="s">
        <v>15</v>
      </c>
      <c r="AC7" s="9" t="s">
        <v>15</v>
      </c>
      <c r="AD7" s="9" t="s">
        <v>15</v>
      </c>
      <c r="AE7" s="9" t="s">
        <v>15</v>
      </c>
      <c r="AF7" s="9" t="s">
        <v>15</v>
      </c>
      <c r="AG7" s="10" t="s">
        <v>15</v>
      </c>
      <c r="AH7" s="11">
        <f t="shared" si="2"/>
        <v>5.5945665654272191E-2</v>
      </c>
      <c r="AI7" s="12">
        <f t="shared" si="0"/>
        <v>5.4895697767352487E-2</v>
      </c>
      <c r="AJ7" s="12">
        <f t="shared" si="0"/>
        <v>3.9945014677408068E-2</v>
      </c>
      <c r="AK7" s="12">
        <f t="shared" si="0"/>
        <v>2.2538509025827921E-2</v>
      </c>
      <c r="AL7" s="12">
        <f t="shared" si="0"/>
        <v>1.6957485219043292E-2</v>
      </c>
      <c r="AM7" s="12">
        <f t="shared" si="0"/>
        <v>2.6035315881893027E-2</v>
      </c>
      <c r="AN7" s="12">
        <f t="shared" si="0"/>
        <v>0</v>
      </c>
      <c r="AO7" s="12">
        <f t="shared" si="0"/>
        <v>0</v>
      </c>
      <c r="AP7" s="12">
        <f t="shared" si="0"/>
        <v>1.4755372715707218E-2</v>
      </c>
      <c r="AQ7" s="12">
        <f t="shared" si="0"/>
        <v>0</v>
      </c>
      <c r="AR7" s="12">
        <f t="shared" si="0"/>
        <v>0</v>
      </c>
      <c r="AS7" s="12">
        <f t="shared" si="0"/>
        <v>0</v>
      </c>
      <c r="AT7" s="12" t="str">
        <f t="shared" si="0"/>
        <v>-</v>
      </c>
      <c r="AU7" s="12" t="str">
        <f t="shared" si="0"/>
        <v>-</v>
      </c>
      <c r="AV7" s="12" t="str">
        <f t="shared" si="0"/>
        <v>-</v>
      </c>
      <c r="AW7" s="12" t="str">
        <f t="shared" si="0"/>
        <v>-</v>
      </c>
      <c r="AX7" s="12">
        <f t="shared" si="0"/>
        <v>0</v>
      </c>
      <c r="AY7" s="12">
        <f t="shared" si="1"/>
        <v>0</v>
      </c>
      <c r="AZ7" s="12" t="str">
        <f t="shared" si="1"/>
        <v>-</v>
      </c>
      <c r="BA7" s="12" t="str">
        <f t="shared" si="1"/>
        <v>-</v>
      </c>
      <c r="BB7" s="12" t="str">
        <f t="shared" si="1"/>
        <v>-</v>
      </c>
      <c r="BC7" s="12" t="str">
        <f t="shared" si="1"/>
        <v>-</v>
      </c>
      <c r="BD7" s="12">
        <f t="shared" si="1"/>
        <v>0</v>
      </c>
      <c r="BE7" s="12">
        <f t="shared" si="1"/>
        <v>0</v>
      </c>
      <c r="BF7" s="12">
        <f t="shared" si="1"/>
        <v>0</v>
      </c>
      <c r="BG7" s="12">
        <f t="shared" si="1"/>
        <v>0</v>
      </c>
      <c r="BH7" s="12">
        <f t="shared" si="1"/>
        <v>0</v>
      </c>
      <c r="BI7" s="12">
        <f t="shared" si="1"/>
        <v>0</v>
      </c>
      <c r="BJ7" s="12">
        <f t="shared" si="1"/>
        <v>0</v>
      </c>
      <c r="BK7" s="12" t="str">
        <f t="shared" si="1"/>
        <v>-</v>
      </c>
      <c r="BL7" s="12" t="str">
        <f t="shared" si="1"/>
        <v>-</v>
      </c>
      <c r="BM7" s="13">
        <f t="shared" si="1"/>
        <v>0</v>
      </c>
    </row>
    <row r="8" spans="1:65">
      <c r="A8" t="s">
        <v>60</v>
      </c>
      <c r="B8" s="9">
        <v>10851613</v>
      </c>
      <c r="C8" s="9">
        <v>10452883</v>
      </c>
      <c r="D8" s="9">
        <v>5304968</v>
      </c>
      <c r="E8" s="9">
        <v>3452588</v>
      </c>
      <c r="F8" s="9">
        <v>6266282</v>
      </c>
      <c r="G8" s="9">
        <v>6436264</v>
      </c>
      <c r="H8" s="9">
        <v>1063182</v>
      </c>
      <c r="I8" s="9">
        <v>903976</v>
      </c>
      <c r="J8" s="9">
        <v>4017922</v>
      </c>
      <c r="K8" s="9">
        <v>1365787</v>
      </c>
      <c r="L8" s="9">
        <v>832198</v>
      </c>
      <c r="M8" s="9">
        <v>212830</v>
      </c>
      <c r="N8" s="9" t="s">
        <v>15</v>
      </c>
      <c r="O8" s="9" t="s">
        <v>15</v>
      </c>
      <c r="P8" s="9" t="s">
        <v>15</v>
      </c>
      <c r="Q8" s="9" t="s">
        <v>15</v>
      </c>
      <c r="R8" s="9">
        <v>817926</v>
      </c>
      <c r="S8" s="9">
        <v>1282685</v>
      </c>
      <c r="T8" s="9" t="s">
        <v>15</v>
      </c>
      <c r="U8" s="9" t="s">
        <v>15</v>
      </c>
      <c r="V8" s="9" t="s">
        <v>15</v>
      </c>
      <c r="W8" s="9" t="s">
        <v>15</v>
      </c>
      <c r="X8" s="9">
        <v>528442</v>
      </c>
      <c r="Y8" s="9">
        <v>424458</v>
      </c>
      <c r="Z8" s="9" t="s">
        <v>15</v>
      </c>
      <c r="AA8" s="9">
        <v>137625</v>
      </c>
      <c r="AB8" s="9">
        <v>446192</v>
      </c>
      <c r="AC8" s="9" t="s">
        <v>15</v>
      </c>
      <c r="AD8" s="9" t="s">
        <v>15</v>
      </c>
      <c r="AE8" s="9" t="s">
        <v>15</v>
      </c>
      <c r="AF8" s="9" t="s">
        <v>15</v>
      </c>
      <c r="AG8" s="10" t="s">
        <v>15</v>
      </c>
      <c r="AH8" s="11">
        <f t="shared" si="2"/>
        <v>0.5806409065940622</v>
      </c>
      <c r="AI8" s="12">
        <f t="shared" si="0"/>
        <v>0.58262586110786441</v>
      </c>
      <c r="AJ8" s="12">
        <f t="shared" si="0"/>
        <v>0.54368034149685474</v>
      </c>
      <c r="AK8" s="12">
        <f t="shared" si="0"/>
        <v>0.58426700854793423</v>
      </c>
      <c r="AL8" s="12">
        <f t="shared" si="0"/>
        <v>0.64924746218453966</v>
      </c>
      <c r="AM8" s="12">
        <f t="shared" si="0"/>
        <v>0.68746170837267528</v>
      </c>
      <c r="AN8" s="12">
        <f t="shared" si="0"/>
        <v>0.82621778263390133</v>
      </c>
      <c r="AO8" s="12">
        <f t="shared" si="0"/>
        <v>0.75023922809620913</v>
      </c>
      <c r="AP8" s="12">
        <f t="shared" si="0"/>
        <v>0.74189028747421892</v>
      </c>
      <c r="AQ8" s="12">
        <f t="shared" si="0"/>
        <v>0.73676621394690467</v>
      </c>
      <c r="AR8" s="12">
        <f t="shared" si="0"/>
        <v>0.8750555980244431</v>
      </c>
      <c r="AS8" s="12">
        <f t="shared" si="0"/>
        <v>0.64186234475936566</v>
      </c>
      <c r="AT8" s="12" t="str">
        <f t="shared" si="0"/>
        <v>-</v>
      </c>
      <c r="AU8" s="12" t="str">
        <f t="shared" si="0"/>
        <v>-</v>
      </c>
      <c r="AV8" s="12" t="str">
        <f t="shared" si="0"/>
        <v>-</v>
      </c>
      <c r="AW8" s="12" t="str">
        <f t="shared" si="0"/>
        <v>-</v>
      </c>
      <c r="AX8" s="12">
        <f t="shared" si="0"/>
        <v>0.95588506837884524</v>
      </c>
      <c r="AY8" s="12">
        <f t="shared" si="1"/>
        <v>0.85353291699799372</v>
      </c>
      <c r="AZ8" s="12" t="str">
        <f t="shared" si="1"/>
        <v>-</v>
      </c>
      <c r="BA8" s="12" t="str">
        <f t="shared" si="1"/>
        <v>-</v>
      </c>
      <c r="BB8" s="12" t="str">
        <f t="shared" si="1"/>
        <v>-</v>
      </c>
      <c r="BC8" s="12" t="str">
        <f t="shared" si="1"/>
        <v>-</v>
      </c>
      <c r="BD8" s="12">
        <f t="shared" si="1"/>
        <v>0.83283609846353635</v>
      </c>
      <c r="BE8" s="12">
        <f t="shared" si="1"/>
        <v>0.93881297525889029</v>
      </c>
      <c r="BF8" s="12">
        <f t="shared" si="1"/>
        <v>0</v>
      </c>
      <c r="BG8" s="12">
        <f t="shared" si="1"/>
        <v>0.83970420446988048</v>
      </c>
      <c r="BH8" s="12">
        <f t="shared" si="1"/>
        <v>0.81706678386346576</v>
      </c>
      <c r="BI8" s="12">
        <f t="shared" si="1"/>
        <v>0</v>
      </c>
      <c r="BJ8" s="12">
        <f t="shared" si="1"/>
        <v>0</v>
      </c>
      <c r="BK8" s="12" t="str">
        <f t="shared" si="1"/>
        <v>-</v>
      </c>
      <c r="BL8" s="12" t="str">
        <f t="shared" si="1"/>
        <v>-</v>
      </c>
      <c r="BM8" s="13">
        <f t="shared" si="1"/>
        <v>0</v>
      </c>
    </row>
    <row r="9" spans="1:65">
      <c r="A9" s="14" t="s">
        <v>61</v>
      </c>
      <c r="B9" s="15">
        <v>3668403</v>
      </c>
      <c r="C9" s="15">
        <v>3246185</v>
      </c>
      <c r="D9" s="15" t="s">
        <v>15</v>
      </c>
      <c r="E9" s="15">
        <v>2859488</v>
      </c>
      <c r="F9" s="15">
        <v>6378384</v>
      </c>
      <c r="G9" s="15">
        <v>5823962</v>
      </c>
      <c r="H9" s="15">
        <v>11388085</v>
      </c>
      <c r="I9" s="15">
        <v>4163184</v>
      </c>
      <c r="J9" s="15">
        <v>4947114</v>
      </c>
      <c r="K9" s="15">
        <v>4696224</v>
      </c>
      <c r="L9" s="15">
        <v>4438010</v>
      </c>
      <c r="M9" s="15">
        <v>5409786</v>
      </c>
      <c r="N9" s="15">
        <v>4500297</v>
      </c>
      <c r="O9" s="15">
        <v>5466161</v>
      </c>
      <c r="P9" s="15">
        <v>6157072</v>
      </c>
      <c r="Q9" s="15">
        <v>5139476</v>
      </c>
      <c r="R9" s="15">
        <v>6822156</v>
      </c>
      <c r="S9" s="15">
        <v>5035015</v>
      </c>
      <c r="T9" s="15">
        <v>7222072</v>
      </c>
      <c r="U9" s="15">
        <v>3973689</v>
      </c>
      <c r="V9" s="15">
        <v>5843177</v>
      </c>
      <c r="W9" s="15">
        <v>7217747</v>
      </c>
      <c r="X9" s="15">
        <v>6468664</v>
      </c>
      <c r="Y9" s="15">
        <v>6281982</v>
      </c>
      <c r="Z9" s="15">
        <v>7149830</v>
      </c>
      <c r="AA9" s="15">
        <v>6662232</v>
      </c>
      <c r="AB9" s="15">
        <v>6319719</v>
      </c>
      <c r="AC9" s="15">
        <v>6224416</v>
      </c>
      <c r="AD9" s="15">
        <v>6470991</v>
      </c>
      <c r="AE9" s="15">
        <v>6400672</v>
      </c>
      <c r="AF9" s="15">
        <v>6599444</v>
      </c>
      <c r="AG9" s="16">
        <v>8045234</v>
      </c>
      <c r="AH9" s="17">
        <f>IFERROR(SUM(B9)/SUM(B$9:B$14),"-")</f>
        <v>0.4482597871317629</v>
      </c>
      <c r="AI9" s="18">
        <f t="shared" ref="AI9:AX14" si="3">IFERROR(SUM(C9)/SUM(C$9:C$14),"-")</f>
        <v>0.45614575710259686</v>
      </c>
      <c r="AJ9" s="18">
        <f t="shared" si="3"/>
        <v>0</v>
      </c>
      <c r="AK9" s="18">
        <f t="shared" si="3"/>
        <v>0.48787290784904558</v>
      </c>
      <c r="AL9" s="18">
        <f t="shared" si="3"/>
        <v>0.3168747400211207</v>
      </c>
      <c r="AM9" s="18">
        <f t="shared" si="3"/>
        <v>0.2791488894220957</v>
      </c>
      <c r="AN9" s="18">
        <f t="shared" si="3"/>
        <v>0.6695476953338495</v>
      </c>
      <c r="AO9" s="18">
        <f t="shared" si="3"/>
        <v>0.49469741790768285</v>
      </c>
      <c r="AP9" s="18">
        <f t="shared" si="3"/>
        <v>0.24916866365518833</v>
      </c>
      <c r="AQ9" s="18">
        <f t="shared" si="3"/>
        <v>0.39574660111091964</v>
      </c>
      <c r="AR9" s="18">
        <f t="shared" si="3"/>
        <v>0.42900861147296748</v>
      </c>
      <c r="AS9" s="18">
        <f t="shared" si="3"/>
        <v>0.58715556699764304</v>
      </c>
      <c r="AT9" s="18">
        <f t="shared" si="3"/>
        <v>0.56832595105596828</v>
      </c>
      <c r="AU9" s="18">
        <f t="shared" si="3"/>
        <v>0.53159244690261698</v>
      </c>
      <c r="AV9" s="18">
        <f t="shared" si="3"/>
        <v>0.53171141801726729</v>
      </c>
      <c r="AW9" s="18">
        <f t="shared" si="3"/>
        <v>0.53790153891109671</v>
      </c>
      <c r="AX9" s="18">
        <f t="shared" si="3"/>
        <v>0.41653283723383827</v>
      </c>
      <c r="AY9" s="18">
        <f t="shared" ref="AY9:BM14" si="4">IFERROR(SUM(S9)/SUM(S$9:S$14),"-")</f>
        <v>0.35046058457765034</v>
      </c>
      <c r="AZ9" s="18">
        <f t="shared" si="4"/>
        <v>0.30097137104011662</v>
      </c>
      <c r="BA9" s="18">
        <f t="shared" si="4"/>
        <v>0.36612523679303</v>
      </c>
      <c r="BB9" s="18">
        <f t="shared" si="4"/>
        <v>0.33286649125481454</v>
      </c>
      <c r="BC9" s="18">
        <f t="shared" si="4"/>
        <v>0.40870046081488032</v>
      </c>
      <c r="BD9" s="18">
        <f t="shared" si="4"/>
        <v>0.39366248975703211</v>
      </c>
      <c r="BE9" s="18">
        <f t="shared" si="4"/>
        <v>0.39485813037345185</v>
      </c>
      <c r="BF9" s="18">
        <f t="shared" si="4"/>
        <v>0.42051829906831517</v>
      </c>
      <c r="BG9" s="18">
        <f t="shared" si="4"/>
        <v>0.40909060765094379</v>
      </c>
      <c r="BH9" s="18">
        <f t="shared" si="4"/>
        <v>0.4592459587283757</v>
      </c>
      <c r="BI9" s="18">
        <f t="shared" si="4"/>
        <v>0.46314397189654005</v>
      </c>
      <c r="BJ9" s="18">
        <f t="shared" si="4"/>
        <v>0.48874646666628901</v>
      </c>
      <c r="BK9" s="18">
        <f t="shared" si="4"/>
        <v>0.51061716923139766</v>
      </c>
      <c r="BL9" s="18">
        <f t="shared" si="4"/>
        <v>0.47021419491051425</v>
      </c>
      <c r="BM9" s="19">
        <f t="shared" si="4"/>
        <v>0.4494504461915923</v>
      </c>
    </row>
    <row r="10" spans="1:65">
      <c r="A10" s="14" t="s">
        <v>62</v>
      </c>
      <c r="B10" s="15">
        <v>226234</v>
      </c>
      <c r="C10" s="15">
        <v>176262</v>
      </c>
      <c r="D10" s="15">
        <v>171375</v>
      </c>
      <c r="E10" s="15">
        <v>147017</v>
      </c>
      <c r="F10" s="15">
        <v>482392</v>
      </c>
      <c r="G10" s="15">
        <v>412771</v>
      </c>
      <c r="H10" s="15">
        <v>709628</v>
      </c>
      <c r="I10" s="15">
        <v>253177</v>
      </c>
      <c r="J10" s="15">
        <v>354054</v>
      </c>
      <c r="K10" s="15">
        <v>299830</v>
      </c>
      <c r="L10" s="15">
        <v>257215</v>
      </c>
      <c r="M10" s="15">
        <v>310613</v>
      </c>
      <c r="N10" s="15">
        <v>194482</v>
      </c>
      <c r="O10" s="15">
        <v>309046</v>
      </c>
      <c r="P10" s="15">
        <v>341553</v>
      </c>
      <c r="Q10" s="15">
        <v>290813</v>
      </c>
      <c r="R10" s="15">
        <v>475920</v>
      </c>
      <c r="S10" s="15">
        <v>328969</v>
      </c>
      <c r="T10" s="15">
        <v>488502</v>
      </c>
      <c r="U10" s="15">
        <v>230568</v>
      </c>
      <c r="V10" s="15">
        <v>412154</v>
      </c>
      <c r="W10" s="15">
        <v>476789</v>
      </c>
      <c r="X10" s="15">
        <v>490241</v>
      </c>
      <c r="Y10" s="15">
        <v>467141</v>
      </c>
      <c r="Z10" s="15">
        <v>500052</v>
      </c>
      <c r="AA10" s="15">
        <v>480553</v>
      </c>
      <c r="AB10" s="15">
        <v>415604</v>
      </c>
      <c r="AC10" s="15">
        <v>422139</v>
      </c>
      <c r="AD10" s="15">
        <v>370176</v>
      </c>
      <c r="AE10" s="15">
        <v>430599</v>
      </c>
      <c r="AF10" s="15">
        <v>425586</v>
      </c>
      <c r="AG10" s="16">
        <v>534838</v>
      </c>
      <c r="AH10" s="17">
        <f t="shared" ref="AH10:AH14" si="5">IFERROR(SUM(B10)/SUM(B$9:B$14),"-")</f>
        <v>2.7644619383957337E-2</v>
      </c>
      <c r="AI10" s="18">
        <f t="shared" si="3"/>
        <v>2.4767893215703336E-2</v>
      </c>
      <c r="AJ10" s="18">
        <f t="shared" si="3"/>
        <v>5.4193561852286139E-2</v>
      </c>
      <c r="AK10" s="18">
        <f t="shared" si="3"/>
        <v>2.5083375518009914E-2</v>
      </c>
      <c r="AL10" s="18">
        <f t="shared" si="3"/>
        <v>2.3964979152755379E-2</v>
      </c>
      <c r="AM10" s="18">
        <f t="shared" si="3"/>
        <v>1.9784566972732287E-2</v>
      </c>
      <c r="AN10" s="18">
        <f t="shared" si="3"/>
        <v>4.1721658377538356E-2</v>
      </c>
      <c r="AO10" s="18">
        <f t="shared" si="3"/>
        <v>3.0084187528971434E-2</v>
      </c>
      <c r="AP10" s="18">
        <f t="shared" si="3"/>
        <v>1.7832449796340664E-2</v>
      </c>
      <c r="AQ10" s="18">
        <f t="shared" si="3"/>
        <v>2.5266406247037413E-2</v>
      </c>
      <c r="AR10" s="18">
        <f t="shared" si="3"/>
        <v>2.486417335698192E-2</v>
      </c>
      <c r="AS10" s="18">
        <f t="shared" si="3"/>
        <v>3.3712637086169193E-2</v>
      </c>
      <c r="AT10" s="18">
        <f t="shared" si="3"/>
        <v>2.4560416259919476E-2</v>
      </c>
      <c r="AU10" s="18">
        <f t="shared" si="3"/>
        <v>3.0055192180666865E-2</v>
      </c>
      <c r="AV10" s="18">
        <f t="shared" si="3"/>
        <v>2.9495778181260781E-2</v>
      </c>
      <c r="AW10" s="18">
        <f t="shared" si="3"/>
        <v>3.0436713827509416E-2</v>
      </c>
      <c r="AX10" s="18">
        <f t="shared" si="3"/>
        <v>2.905772132685449E-2</v>
      </c>
      <c r="AY10" s="18">
        <f t="shared" si="4"/>
        <v>2.2897780453072145E-2</v>
      </c>
      <c r="AZ10" s="18">
        <f t="shared" si="4"/>
        <v>2.0357747291336759E-2</v>
      </c>
      <c r="BA10" s="18">
        <f t="shared" si="4"/>
        <v>2.1243928147596691E-2</v>
      </c>
      <c r="BB10" s="18">
        <f t="shared" si="4"/>
        <v>2.3479051864531371E-2</v>
      </c>
      <c r="BC10" s="18">
        <f t="shared" si="4"/>
        <v>2.6997882304750496E-2</v>
      </c>
      <c r="BD10" s="18">
        <f t="shared" si="4"/>
        <v>2.9834521106827803E-2</v>
      </c>
      <c r="BE10" s="18">
        <f t="shared" si="4"/>
        <v>2.9362456288602019E-2</v>
      </c>
      <c r="BF10" s="18">
        <f t="shared" si="4"/>
        <v>2.9410631649383151E-2</v>
      </c>
      <c r="BG10" s="18">
        <f t="shared" si="4"/>
        <v>2.950808659597624E-2</v>
      </c>
      <c r="BH10" s="18">
        <f t="shared" si="4"/>
        <v>3.0201415194464794E-2</v>
      </c>
      <c r="BI10" s="18">
        <f t="shared" si="4"/>
        <v>3.1410357719091002E-2</v>
      </c>
      <c r="BJ10" s="18">
        <f t="shared" si="4"/>
        <v>2.7958965179314916E-2</v>
      </c>
      <c r="BK10" s="18">
        <f t="shared" si="4"/>
        <v>3.4351274749568575E-2</v>
      </c>
      <c r="BL10" s="18">
        <f t="shared" si="4"/>
        <v>3.0323248194118493E-2</v>
      </c>
      <c r="BM10" s="19">
        <f t="shared" si="4"/>
        <v>2.9878954141075179E-2</v>
      </c>
    </row>
    <row r="11" spans="1:65">
      <c r="A11" s="14" t="s">
        <v>63</v>
      </c>
      <c r="B11" s="15">
        <v>780962</v>
      </c>
      <c r="C11" s="15">
        <v>691067</v>
      </c>
      <c r="D11" s="15">
        <v>662516</v>
      </c>
      <c r="E11" s="15">
        <v>612094</v>
      </c>
      <c r="F11" s="15">
        <v>2724421</v>
      </c>
      <c r="G11" s="15">
        <v>2651423</v>
      </c>
      <c r="H11" s="15">
        <v>1230404</v>
      </c>
      <c r="I11" s="15">
        <v>1076312</v>
      </c>
      <c r="J11" s="15">
        <v>2550447</v>
      </c>
      <c r="K11" s="15">
        <v>1581375</v>
      </c>
      <c r="L11" s="15">
        <v>1476246</v>
      </c>
      <c r="M11" s="15">
        <v>1081449</v>
      </c>
      <c r="N11" s="15">
        <v>663073</v>
      </c>
      <c r="O11" s="15">
        <v>919120</v>
      </c>
      <c r="P11" s="15">
        <v>1207797</v>
      </c>
      <c r="Q11" s="15">
        <v>1071197</v>
      </c>
      <c r="R11" s="15">
        <v>2263511</v>
      </c>
      <c r="S11" s="15">
        <v>1914306</v>
      </c>
      <c r="T11" s="15">
        <v>3363443</v>
      </c>
      <c r="U11" s="15">
        <v>1412243</v>
      </c>
      <c r="V11" s="15">
        <v>2545185</v>
      </c>
      <c r="W11" s="15">
        <v>2729634</v>
      </c>
      <c r="X11" s="15">
        <v>2536643</v>
      </c>
      <c r="Y11" s="15">
        <v>2418238</v>
      </c>
      <c r="Z11" s="15">
        <v>2532040</v>
      </c>
      <c r="AA11" s="15">
        <v>2360679</v>
      </c>
      <c r="AB11" s="15">
        <v>2054551</v>
      </c>
      <c r="AC11" s="15">
        <v>2007736</v>
      </c>
      <c r="AD11" s="15">
        <v>1949355</v>
      </c>
      <c r="AE11" s="15">
        <v>1673977</v>
      </c>
      <c r="AF11" s="15">
        <v>2116491</v>
      </c>
      <c r="AG11" s="16">
        <v>2689729</v>
      </c>
      <c r="AH11" s="17">
        <f t="shared" si="5"/>
        <v>9.5429498852224195E-2</v>
      </c>
      <c r="AI11" s="18">
        <f t="shared" si="3"/>
        <v>9.7106997883244589E-2</v>
      </c>
      <c r="AJ11" s="18">
        <f t="shared" si="3"/>
        <v>0.20950606461928054</v>
      </c>
      <c r="AK11" s="18">
        <f t="shared" si="3"/>
        <v>0.10443270951196637</v>
      </c>
      <c r="AL11" s="18">
        <f t="shared" si="3"/>
        <v>0.1353477928081912</v>
      </c>
      <c r="AM11" s="18">
        <f t="shared" si="3"/>
        <v>0.12708561385500133</v>
      </c>
      <c r="AN11" s="18">
        <f t="shared" si="3"/>
        <v>7.2340008221711521E-2</v>
      </c>
      <c r="AO11" s="18">
        <f t="shared" si="3"/>
        <v>0.12789460356857971</v>
      </c>
      <c r="AP11" s="18">
        <f t="shared" si="3"/>
        <v>0.12845700962488113</v>
      </c>
      <c r="AQ11" s="18">
        <f t="shared" si="3"/>
        <v>0.13326105852952938</v>
      </c>
      <c r="AR11" s="18">
        <f t="shared" si="3"/>
        <v>0.14270410536536024</v>
      </c>
      <c r="AS11" s="18">
        <f t="shared" si="3"/>
        <v>0.11737595549510352</v>
      </c>
      <c r="AT11" s="18">
        <f t="shared" si="3"/>
        <v>8.3737049653508228E-2</v>
      </c>
      <c r="AU11" s="18">
        <f t="shared" si="3"/>
        <v>8.9385813882381676E-2</v>
      </c>
      <c r="AV11" s="18">
        <f t="shared" si="3"/>
        <v>0.10430273603215966</v>
      </c>
      <c r="AW11" s="18">
        <f t="shared" si="3"/>
        <v>0.11211230770937546</v>
      </c>
      <c r="AX11" s="18">
        <f t="shared" si="3"/>
        <v>0.13820068889365802</v>
      </c>
      <c r="AY11" s="18">
        <f t="shared" si="4"/>
        <v>0.13324464769628361</v>
      </c>
      <c r="AZ11" s="18">
        <f t="shared" si="4"/>
        <v>0.14016753794829004</v>
      </c>
      <c r="BA11" s="18">
        <f t="shared" si="4"/>
        <v>0.13012034982715029</v>
      </c>
      <c r="BB11" s="18">
        <f t="shared" si="4"/>
        <v>0.14499078164915852</v>
      </c>
      <c r="BC11" s="18">
        <f t="shared" si="4"/>
        <v>0.15456383739357518</v>
      </c>
      <c r="BD11" s="18">
        <f t="shared" si="4"/>
        <v>0.15437209275435346</v>
      </c>
      <c r="BE11" s="18">
        <f t="shared" si="4"/>
        <v>0.15199994770409014</v>
      </c>
      <c r="BF11" s="18">
        <f t="shared" si="4"/>
        <v>0.14892230360343348</v>
      </c>
      <c r="BG11" s="18">
        <f t="shared" si="4"/>
        <v>0.14495616582833235</v>
      </c>
      <c r="BH11" s="18">
        <f t="shared" si="4"/>
        <v>0.14930161352923177</v>
      </c>
      <c r="BI11" s="18">
        <f t="shared" si="4"/>
        <v>0.14939085458935775</v>
      </c>
      <c r="BJ11" s="18">
        <f t="shared" si="4"/>
        <v>0.14723252876232773</v>
      </c>
      <c r="BK11" s="18">
        <f t="shared" si="4"/>
        <v>0.13354244633976983</v>
      </c>
      <c r="BL11" s="18">
        <f t="shared" si="4"/>
        <v>0.15080120561676852</v>
      </c>
      <c r="BM11" s="19">
        <f t="shared" si="4"/>
        <v>0.15026286360153915</v>
      </c>
    </row>
    <row r="12" spans="1:65">
      <c r="A12" s="14" t="s">
        <v>64</v>
      </c>
      <c r="B12" s="15">
        <v>893310</v>
      </c>
      <c r="C12" s="15">
        <v>696263</v>
      </c>
      <c r="D12" s="15">
        <v>619073</v>
      </c>
      <c r="E12" s="15">
        <v>629519</v>
      </c>
      <c r="F12" s="15">
        <v>2744576</v>
      </c>
      <c r="G12" s="15">
        <v>2880304</v>
      </c>
      <c r="H12" s="15">
        <v>1241468</v>
      </c>
      <c r="I12" s="15">
        <v>1092014</v>
      </c>
      <c r="J12" s="15">
        <v>2642227</v>
      </c>
      <c r="K12" s="15">
        <v>1819065</v>
      </c>
      <c r="L12" s="15">
        <v>1597748</v>
      </c>
      <c r="M12" s="15">
        <v>994881</v>
      </c>
      <c r="N12" s="15">
        <v>719031</v>
      </c>
      <c r="O12" s="15">
        <v>912756</v>
      </c>
      <c r="P12" s="15">
        <v>1217152</v>
      </c>
      <c r="Q12" s="15">
        <v>984060</v>
      </c>
      <c r="R12" s="15">
        <v>2252531</v>
      </c>
      <c r="S12" s="15">
        <v>1975510</v>
      </c>
      <c r="T12" s="15">
        <v>3661868</v>
      </c>
      <c r="U12" s="15">
        <v>1448859</v>
      </c>
      <c r="V12" s="15">
        <v>2690808</v>
      </c>
      <c r="W12" s="15">
        <v>2613498</v>
      </c>
      <c r="X12" s="15">
        <v>2562192</v>
      </c>
      <c r="Y12" s="15">
        <v>2489935</v>
      </c>
      <c r="Z12" s="15">
        <v>2531211</v>
      </c>
      <c r="AA12" s="15">
        <v>2488237</v>
      </c>
      <c r="AB12" s="15">
        <v>2106773</v>
      </c>
      <c r="AC12" s="15">
        <v>1959238</v>
      </c>
      <c r="AD12" s="15">
        <v>2031079</v>
      </c>
      <c r="AE12" s="15">
        <v>1776833</v>
      </c>
      <c r="AF12" s="15">
        <v>2029845</v>
      </c>
      <c r="AG12" s="16">
        <v>2805514</v>
      </c>
      <c r="AH12" s="17">
        <f t="shared" si="5"/>
        <v>0.10915784073960116</v>
      </c>
      <c r="AI12" s="18">
        <f t="shared" si="3"/>
        <v>9.7837126743400449E-2</v>
      </c>
      <c r="AJ12" s="18">
        <f t="shared" si="3"/>
        <v>0.19576817456793777</v>
      </c>
      <c r="AK12" s="18">
        <f t="shared" si="3"/>
        <v>0.10740568419109411</v>
      </c>
      <c r="AL12" s="18">
        <f t="shared" si="3"/>
        <v>0.13634908253692588</v>
      </c>
      <c r="AM12" s="18">
        <f t="shared" si="3"/>
        <v>0.13805613134117634</v>
      </c>
      <c r="AN12" s="18">
        <f t="shared" si="3"/>
        <v>7.2990501759577969E-2</v>
      </c>
      <c r="AO12" s="18">
        <f t="shared" si="3"/>
        <v>0.12976042041837219</v>
      </c>
      <c r="AP12" s="18">
        <f t="shared" si="3"/>
        <v>0.13307964414477963</v>
      </c>
      <c r="AQ12" s="18">
        <f t="shared" si="3"/>
        <v>0.15329098248930098</v>
      </c>
      <c r="AR12" s="18">
        <f t="shared" si="3"/>
        <v>0.15444932547779541</v>
      </c>
      <c r="AS12" s="18">
        <f t="shared" si="3"/>
        <v>0.10798022650991779</v>
      </c>
      <c r="AT12" s="18">
        <f t="shared" si="3"/>
        <v>9.0803779598040743E-2</v>
      </c>
      <c r="AU12" s="18">
        <f t="shared" si="3"/>
        <v>8.8766905231120172E-2</v>
      </c>
      <c r="AV12" s="18">
        <f t="shared" si="3"/>
        <v>0.10511061359401885</v>
      </c>
      <c r="AW12" s="18">
        <f t="shared" si="3"/>
        <v>0.10299248179792139</v>
      </c>
      <c r="AX12" s="18">
        <f t="shared" si="3"/>
        <v>0.13753029517166934</v>
      </c>
      <c r="AY12" s="18">
        <f t="shared" si="4"/>
        <v>0.137504732247867</v>
      </c>
      <c r="AZ12" s="18">
        <f t="shared" si="4"/>
        <v>0.15260404943732625</v>
      </c>
      <c r="BA12" s="18">
        <f t="shared" si="4"/>
        <v>0.1334940516116668</v>
      </c>
      <c r="BB12" s="18">
        <f t="shared" si="4"/>
        <v>0.15328644290603982</v>
      </c>
      <c r="BC12" s="18">
        <f t="shared" si="4"/>
        <v>0.14798770820572793</v>
      </c>
      <c r="BD12" s="18">
        <f t="shared" si="4"/>
        <v>0.15592692431629615</v>
      </c>
      <c r="BE12" s="18">
        <f t="shared" si="4"/>
        <v>0.15650651002365509</v>
      </c>
      <c r="BF12" s="18">
        <f t="shared" si="4"/>
        <v>0.14887354584696547</v>
      </c>
      <c r="BG12" s="18">
        <f t="shared" si="4"/>
        <v>0.15278879305157211</v>
      </c>
      <c r="BH12" s="18">
        <f t="shared" si="4"/>
        <v>0.15309651998895143</v>
      </c>
      <c r="BI12" s="18">
        <f t="shared" si="4"/>
        <v>0.14578223390124204</v>
      </c>
      <c r="BJ12" s="18">
        <f t="shared" si="4"/>
        <v>0.15340504797025675</v>
      </c>
      <c r="BK12" s="18">
        <f t="shared" si="4"/>
        <v>0.14174784095434539</v>
      </c>
      <c r="BL12" s="18">
        <f t="shared" si="4"/>
        <v>0.14462762809535665</v>
      </c>
      <c r="BM12" s="19">
        <f t="shared" si="4"/>
        <v>0.15673124226054316</v>
      </c>
    </row>
    <row r="13" spans="1:65">
      <c r="A13" s="14" t="s">
        <v>65</v>
      </c>
      <c r="B13" s="15">
        <v>237732</v>
      </c>
      <c r="C13" s="15">
        <v>222621</v>
      </c>
      <c r="D13" s="15">
        <v>178409</v>
      </c>
      <c r="E13" s="15">
        <v>177862</v>
      </c>
      <c r="F13" s="15">
        <v>727832</v>
      </c>
      <c r="G13" s="15">
        <v>709442</v>
      </c>
      <c r="H13" s="15">
        <v>177340</v>
      </c>
      <c r="I13" s="15">
        <v>151600</v>
      </c>
      <c r="J13" s="15">
        <v>844907</v>
      </c>
      <c r="K13" s="15">
        <v>341215</v>
      </c>
      <c r="L13" s="15">
        <v>259895</v>
      </c>
      <c r="M13" s="15">
        <v>115824</v>
      </c>
      <c r="N13" s="15">
        <v>184058</v>
      </c>
      <c r="O13" s="15">
        <v>228784</v>
      </c>
      <c r="P13" s="15">
        <v>254618</v>
      </c>
      <c r="Q13" s="15">
        <v>181546</v>
      </c>
      <c r="R13" s="15">
        <v>499394</v>
      </c>
      <c r="S13" s="15">
        <v>522895</v>
      </c>
      <c r="T13" s="15">
        <v>894520</v>
      </c>
      <c r="U13" s="15">
        <v>332412</v>
      </c>
      <c r="V13" s="15">
        <v>551796</v>
      </c>
      <c r="W13" s="15">
        <v>463498</v>
      </c>
      <c r="X13" s="15">
        <v>427387</v>
      </c>
      <c r="Y13" s="15">
        <v>395886</v>
      </c>
      <c r="Z13" s="15">
        <v>406604</v>
      </c>
      <c r="AA13" s="15">
        <v>408781</v>
      </c>
      <c r="AB13" s="15">
        <v>265648</v>
      </c>
      <c r="AC13" s="15">
        <v>297428</v>
      </c>
      <c r="AD13" s="15">
        <v>224497</v>
      </c>
      <c r="AE13" s="15">
        <v>169290</v>
      </c>
      <c r="AF13" s="15">
        <v>271610</v>
      </c>
      <c r="AG13" s="16">
        <v>344277</v>
      </c>
      <c r="AH13" s="17">
        <f t="shared" si="5"/>
        <v>2.9049615245219311E-2</v>
      </c>
      <c r="AI13" s="18">
        <f t="shared" si="3"/>
        <v>3.1282143375050163E-2</v>
      </c>
      <c r="AJ13" s="18">
        <f t="shared" si="3"/>
        <v>5.6417909126211627E-2</v>
      </c>
      <c r="AK13" s="18">
        <f t="shared" si="3"/>
        <v>3.0346009892626563E-2</v>
      </c>
      <c r="AL13" s="18">
        <f t="shared" si="3"/>
        <v>3.6158308402105037E-2</v>
      </c>
      <c r="AM13" s="18">
        <f t="shared" si="3"/>
        <v>3.4004333546371085E-2</v>
      </c>
      <c r="AN13" s="18">
        <f t="shared" si="3"/>
        <v>1.0426475416235904E-2</v>
      </c>
      <c r="AO13" s="18">
        <f t="shared" si="3"/>
        <v>1.8014127781718202E-2</v>
      </c>
      <c r="AP13" s="18">
        <f t="shared" si="3"/>
        <v>4.2554982178076795E-2</v>
      </c>
      <c r="AQ13" s="18">
        <f t="shared" si="3"/>
        <v>2.875388322577084E-2</v>
      </c>
      <c r="AR13" s="18">
        <f t="shared" si="3"/>
        <v>2.5123240614321935E-2</v>
      </c>
      <c r="AS13" s="18">
        <f t="shared" si="3"/>
        <v>1.2571052975466129E-2</v>
      </c>
      <c r="AT13" s="18">
        <f t="shared" si="3"/>
        <v>2.3244007650930466E-2</v>
      </c>
      <c r="AU13" s="18">
        <f t="shared" si="3"/>
        <v>2.2249590960121433E-2</v>
      </c>
      <c r="AV13" s="18">
        <f t="shared" si="3"/>
        <v>2.1988259652107454E-2</v>
      </c>
      <c r="AW13" s="18">
        <f t="shared" si="3"/>
        <v>1.9000744975393204E-2</v>
      </c>
      <c r="AX13" s="18">
        <f t="shared" si="3"/>
        <v>3.0490947395157106E-2</v>
      </c>
      <c r="AY13" s="18">
        <f t="shared" si="4"/>
        <v>3.6395936729628507E-2</v>
      </c>
      <c r="AZ13" s="18">
        <f t="shared" si="4"/>
        <v>3.7278070728567245E-2</v>
      </c>
      <c r="BA13" s="18">
        <f t="shared" si="4"/>
        <v>3.0627566025636301E-2</v>
      </c>
      <c r="BB13" s="18">
        <f t="shared" si="4"/>
        <v>3.1433995309134335E-2</v>
      </c>
      <c r="BC13" s="18">
        <f t="shared" si="4"/>
        <v>2.6245287648178222E-2</v>
      </c>
      <c r="BD13" s="18">
        <f t="shared" si="4"/>
        <v>2.6009424899761168E-2</v>
      </c>
      <c r="BE13" s="18">
        <f t="shared" si="4"/>
        <v>2.4883676171154959E-2</v>
      </c>
      <c r="BF13" s="18">
        <f t="shared" si="4"/>
        <v>2.391447383705252E-2</v>
      </c>
      <c r="BG13" s="18">
        <f t="shared" si="4"/>
        <v>2.5100967316382925E-2</v>
      </c>
      <c r="BH13" s="18">
        <f t="shared" si="4"/>
        <v>1.9304302998958585E-2</v>
      </c>
      <c r="BI13" s="18">
        <f t="shared" si="4"/>
        <v>2.2130909192644599E-2</v>
      </c>
      <c r="BJ13" s="18">
        <f t="shared" si="4"/>
        <v>1.6955998783985619E-2</v>
      </c>
      <c r="BK13" s="18">
        <f t="shared" si="4"/>
        <v>1.3505203919085888E-2</v>
      </c>
      <c r="BL13" s="18">
        <f t="shared" si="4"/>
        <v>1.9352369302572274E-2</v>
      </c>
      <c r="BM13" s="19">
        <f t="shared" si="4"/>
        <v>1.9233182187553877E-2</v>
      </c>
    </row>
    <row r="14" spans="1:65">
      <c r="A14" s="14" t="s">
        <v>66</v>
      </c>
      <c r="B14" s="15">
        <v>2377013</v>
      </c>
      <c r="C14" s="15">
        <v>2084154</v>
      </c>
      <c r="D14" s="15">
        <v>1530903</v>
      </c>
      <c r="E14" s="15">
        <v>1435153</v>
      </c>
      <c r="F14" s="15">
        <v>7071434</v>
      </c>
      <c r="G14" s="15">
        <v>8385380</v>
      </c>
      <c r="H14" s="15">
        <v>2261699</v>
      </c>
      <c r="I14" s="15">
        <v>1679330</v>
      </c>
      <c r="J14" s="15">
        <v>8515730</v>
      </c>
      <c r="K14" s="15">
        <v>3129036</v>
      </c>
      <c r="L14" s="15">
        <v>2315690</v>
      </c>
      <c r="M14" s="15">
        <v>1300995</v>
      </c>
      <c r="N14" s="15">
        <v>1657573</v>
      </c>
      <c r="O14" s="15">
        <v>2446749</v>
      </c>
      <c r="P14" s="15">
        <v>2401533</v>
      </c>
      <c r="Q14" s="15">
        <v>1887586</v>
      </c>
      <c r="R14" s="15">
        <v>4064923</v>
      </c>
      <c r="S14" s="15">
        <v>4590156</v>
      </c>
      <c r="T14" s="15">
        <v>8365472</v>
      </c>
      <c r="U14" s="15">
        <v>3455589</v>
      </c>
      <c r="V14" s="15">
        <v>5510996</v>
      </c>
      <c r="W14" s="15">
        <v>4159071</v>
      </c>
      <c r="X14" s="15">
        <v>3946878</v>
      </c>
      <c r="Y14" s="15">
        <v>3856284</v>
      </c>
      <c r="Z14" s="15">
        <v>3882686</v>
      </c>
      <c r="AA14" s="15">
        <v>3884986</v>
      </c>
      <c r="AB14" s="15">
        <v>2598782</v>
      </c>
      <c r="AC14" s="15">
        <v>2528527</v>
      </c>
      <c r="AD14" s="15">
        <v>2193877</v>
      </c>
      <c r="AE14" s="15">
        <v>2083797</v>
      </c>
      <c r="AF14" s="15">
        <v>2591998</v>
      </c>
      <c r="AG14" s="16">
        <v>3480566</v>
      </c>
      <c r="AH14" s="17">
        <f t="shared" si="5"/>
        <v>0.29045863864723509</v>
      </c>
      <c r="AI14" s="18">
        <f t="shared" si="3"/>
        <v>0.2928600816800046</v>
      </c>
      <c r="AJ14" s="18">
        <f t="shared" si="3"/>
        <v>0.4841142898342839</v>
      </c>
      <c r="AK14" s="18">
        <f t="shared" si="3"/>
        <v>0.24485931303725747</v>
      </c>
      <c r="AL14" s="18">
        <f t="shared" si="3"/>
        <v>0.35130509707890178</v>
      </c>
      <c r="AM14" s="18">
        <f t="shared" si="3"/>
        <v>0.40192046486262323</v>
      </c>
      <c r="AN14" s="18">
        <f t="shared" si="3"/>
        <v>0.13297366089108678</v>
      </c>
      <c r="AO14" s="18">
        <f t="shared" si="3"/>
        <v>0.19954924279467567</v>
      </c>
      <c r="AP14" s="18">
        <f t="shared" si="3"/>
        <v>0.42890725060073348</v>
      </c>
      <c r="AQ14" s="18">
        <f t="shared" si="3"/>
        <v>0.26368106839744176</v>
      </c>
      <c r="AR14" s="18">
        <f t="shared" si="3"/>
        <v>0.22385054371257299</v>
      </c>
      <c r="AS14" s="18">
        <f t="shared" si="3"/>
        <v>0.14120456093570033</v>
      </c>
      <c r="AT14" s="18">
        <f t="shared" si="3"/>
        <v>0.20932879578163277</v>
      </c>
      <c r="AU14" s="18">
        <f t="shared" si="3"/>
        <v>0.23795005084309284</v>
      </c>
      <c r="AV14" s="18">
        <f t="shared" si="3"/>
        <v>0.207391194523186</v>
      </c>
      <c r="AW14" s="18">
        <f t="shared" si="3"/>
        <v>0.1975562127787038</v>
      </c>
      <c r="AX14" s="18">
        <f t="shared" si="3"/>
        <v>0.24818750997882277</v>
      </c>
      <c r="AY14" s="18">
        <f t="shared" si="4"/>
        <v>0.31949631829549846</v>
      </c>
      <c r="AZ14" s="18">
        <f t="shared" si="4"/>
        <v>0.34862122355436309</v>
      </c>
      <c r="BA14" s="18">
        <f t="shared" si="4"/>
        <v>0.31838886759491991</v>
      </c>
      <c r="BB14" s="18">
        <f t="shared" si="4"/>
        <v>0.31394323701632143</v>
      </c>
      <c r="BC14" s="18">
        <f t="shared" si="4"/>
        <v>0.23550482363288783</v>
      </c>
      <c r="BD14" s="18">
        <f t="shared" si="4"/>
        <v>0.24019454716572933</v>
      </c>
      <c r="BE14" s="18">
        <f t="shared" si="4"/>
        <v>0.24238927943904592</v>
      </c>
      <c r="BF14" s="18">
        <f t="shared" si="4"/>
        <v>0.22836074599485026</v>
      </c>
      <c r="BG14" s="18">
        <f t="shared" si="4"/>
        <v>0.2385553795567926</v>
      </c>
      <c r="BH14" s="18">
        <f t="shared" si="4"/>
        <v>0.18885018956001773</v>
      </c>
      <c r="BI14" s="18">
        <f t="shared" si="4"/>
        <v>0.18814167270112453</v>
      </c>
      <c r="BJ14" s="18">
        <f t="shared" si="4"/>
        <v>0.16570099263782598</v>
      </c>
      <c r="BK14" s="18">
        <f t="shared" si="4"/>
        <v>0.16623606480583267</v>
      </c>
      <c r="BL14" s="18">
        <f t="shared" si="4"/>
        <v>0.18468135388066981</v>
      </c>
      <c r="BM14" s="19">
        <f t="shared" si="4"/>
        <v>0.19444331161769635</v>
      </c>
    </row>
    <row r="15" spans="1:65" s="20" customFormat="1">
      <c r="A15" s="20" t="s">
        <v>67</v>
      </c>
      <c r="B15" s="21">
        <v>36514148</v>
      </c>
      <c r="C15" s="21">
        <v>36355712</v>
      </c>
      <c r="D15" s="21">
        <v>37602352</v>
      </c>
      <c r="E15" s="21">
        <v>36056836</v>
      </c>
      <c r="F15" s="21">
        <v>32978402</v>
      </c>
      <c r="G15" s="21">
        <v>30115888</v>
      </c>
      <c r="H15" s="21">
        <v>35400468</v>
      </c>
      <c r="I15" s="21">
        <v>35275984</v>
      </c>
      <c r="J15" s="21">
        <v>32211452</v>
      </c>
      <c r="K15" s="21">
        <v>33757328</v>
      </c>
      <c r="L15" s="21">
        <v>34298272</v>
      </c>
      <c r="M15" s="21">
        <v>34759612</v>
      </c>
      <c r="N15" s="21">
        <v>35111664</v>
      </c>
      <c r="O15" s="21">
        <v>36758768</v>
      </c>
      <c r="P15" s="21">
        <v>36653728</v>
      </c>
      <c r="Q15" s="21">
        <v>35603224</v>
      </c>
      <c r="R15" s="21">
        <v>35192704</v>
      </c>
      <c r="S15" s="21">
        <v>32324028</v>
      </c>
      <c r="T15" s="21">
        <v>35286856</v>
      </c>
      <c r="U15" s="21">
        <v>36789812</v>
      </c>
      <c r="V15" s="21">
        <v>35424072</v>
      </c>
      <c r="W15" s="21">
        <v>34978476</v>
      </c>
      <c r="X15" s="21">
        <v>33571608</v>
      </c>
      <c r="Y15" s="21">
        <v>32841458</v>
      </c>
      <c r="Z15" s="21">
        <v>34282052</v>
      </c>
      <c r="AA15" s="21">
        <v>35264528</v>
      </c>
      <c r="AB15" s="21">
        <v>32607708</v>
      </c>
      <c r="AC15" s="21">
        <v>33913424</v>
      </c>
      <c r="AD15" s="21">
        <v>33720584</v>
      </c>
      <c r="AE15" s="21">
        <v>31778370</v>
      </c>
      <c r="AF15" s="21">
        <v>32742742</v>
      </c>
      <c r="AG15" s="22">
        <v>34552088</v>
      </c>
      <c r="AH15" s="23" t="s">
        <v>68</v>
      </c>
      <c r="AI15" s="21" t="s">
        <v>68</v>
      </c>
      <c r="AJ15" s="21" t="s">
        <v>68</v>
      </c>
      <c r="AK15" s="21" t="s">
        <v>68</v>
      </c>
      <c r="AL15" s="21" t="s">
        <v>68</v>
      </c>
      <c r="AM15" s="21" t="s">
        <v>68</v>
      </c>
      <c r="AN15" s="21" t="s">
        <v>68</v>
      </c>
      <c r="AO15" s="21" t="s">
        <v>68</v>
      </c>
      <c r="AP15" s="21" t="s">
        <v>68</v>
      </c>
      <c r="AQ15" s="21" t="s">
        <v>68</v>
      </c>
      <c r="AR15" s="21" t="s">
        <v>68</v>
      </c>
      <c r="AS15" s="21" t="s">
        <v>68</v>
      </c>
      <c r="AT15" s="21" t="s">
        <v>68</v>
      </c>
      <c r="AU15" s="21" t="s">
        <v>68</v>
      </c>
      <c r="AV15" s="21" t="s">
        <v>68</v>
      </c>
      <c r="AW15" s="21" t="s">
        <v>68</v>
      </c>
      <c r="AX15" s="21" t="s">
        <v>68</v>
      </c>
      <c r="AY15" s="21" t="s">
        <v>68</v>
      </c>
      <c r="AZ15" s="21" t="s">
        <v>68</v>
      </c>
      <c r="BA15" s="21" t="s">
        <v>68</v>
      </c>
      <c r="BB15" s="21" t="s">
        <v>68</v>
      </c>
      <c r="BC15" s="21" t="s">
        <v>68</v>
      </c>
      <c r="BD15" s="21" t="s">
        <v>68</v>
      </c>
      <c r="BE15" s="21" t="s">
        <v>68</v>
      </c>
      <c r="BF15" s="21" t="s">
        <v>68</v>
      </c>
      <c r="BG15" s="21" t="s">
        <v>68</v>
      </c>
      <c r="BH15" s="21" t="s">
        <v>68</v>
      </c>
      <c r="BI15" s="21" t="s">
        <v>68</v>
      </c>
      <c r="BJ15" s="21" t="s">
        <v>68</v>
      </c>
      <c r="BK15" s="21" t="s">
        <v>68</v>
      </c>
      <c r="BL15" s="21" t="s">
        <v>68</v>
      </c>
      <c r="BM15" s="22" t="s">
        <v>68</v>
      </c>
    </row>
    <row r="16" spans="1:65">
      <c r="M16" s="9"/>
    </row>
    <row r="17" spans="1:33">
      <c r="A17" s="5" t="s">
        <v>69</v>
      </c>
      <c r="B17" s="25">
        <v>508500</v>
      </c>
      <c r="C17" s="25">
        <v>536400</v>
      </c>
      <c r="D17" s="25">
        <v>611280</v>
      </c>
      <c r="E17" s="25">
        <v>695160</v>
      </c>
      <c r="F17" s="25">
        <v>272200</v>
      </c>
      <c r="G17" s="25">
        <v>260480</v>
      </c>
      <c r="H17" s="25">
        <v>302400</v>
      </c>
      <c r="I17" s="25">
        <v>276150</v>
      </c>
      <c r="J17" s="25">
        <v>452750</v>
      </c>
      <c r="K17" s="25">
        <v>312900</v>
      </c>
      <c r="L17" s="25">
        <v>387700</v>
      </c>
      <c r="M17" s="26">
        <v>210750</v>
      </c>
      <c r="N17" s="26">
        <v>662400</v>
      </c>
      <c r="O17" s="25">
        <v>632100</v>
      </c>
      <c r="P17" s="25">
        <v>646800</v>
      </c>
      <c r="Q17" s="25">
        <v>689700</v>
      </c>
      <c r="R17" s="25">
        <v>342000</v>
      </c>
      <c r="S17" s="25">
        <v>442500</v>
      </c>
      <c r="T17" s="25">
        <v>322900</v>
      </c>
      <c r="U17" s="25">
        <v>461950</v>
      </c>
      <c r="V17" s="25">
        <v>381300</v>
      </c>
      <c r="W17" s="25">
        <v>255250</v>
      </c>
      <c r="X17" s="25">
        <v>284500</v>
      </c>
      <c r="Y17" s="25">
        <v>282850</v>
      </c>
      <c r="Z17" s="25">
        <v>224300</v>
      </c>
      <c r="AA17" s="25">
        <v>302900</v>
      </c>
      <c r="AB17" s="25">
        <v>245800</v>
      </c>
      <c r="AC17" s="25">
        <v>308900</v>
      </c>
      <c r="AD17" s="25">
        <v>173738</v>
      </c>
      <c r="AE17" s="25">
        <v>173738</v>
      </c>
      <c r="AF17" s="25">
        <v>318975</v>
      </c>
      <c r="AG17" s="25">
        <v>308925</v>
      </c>
    </row>
    <row r="18" spans="1:33">
      <c r="A18" s="5" t="s">
        <v>70</v>
      </c>
      <c r="B18" s="25">
        <v>1017</v>
      </c>
      <c r="C18" s="25">
        <v>1073</v>
      </c>
      <c r="D18" s="25">
        <v>1223</v>
      </c>
      <c r="E18" s="25">
        <v>1390</v>
      </c>
      <c r="F18" s="25">
        <v>544</v>
      </c>
      <c r="G18" s="25">
        <v>521</v>
      </c>
      <c r="H18" s="25">
        <v>605</v>
      </c>
      <c r="I18" s="25">
        <v>552</v>
      </c>
      <c r="J18" s="25">
        <v>906</v>
      </c>
      <c r="K18" s="25">
        <v>626</v>
      </c>
      <c r="L18" s="25">
        <v>775</v>
      </c>
      <c r="M18" s="26">
        <v>422</v>
      </c>
      <c r="N18" s="26">
        <v>1325</v>
      </c>
      <c r="O18" s="25">
        <v>1264</v>
      </c>
      <c r="P18" s="25">
        <v>1294</v>
      </c>
      <c r="Q18" s="25">
        <v>1379</v>
      </c>
      <c r="R18" s="25">
        <v>684</v>
      </c>
      <c r="S18" s="25">
        <v>885</v>
      </c>
      <c r="T18" s="25">
        <v>646</v>
      </c>
      <c r="U18" s="25">
        <v>924</v>
      </c>
      <c r="V18" s="25">
        <v>763</v>
      </c>
      <c r="W18" s="25">
        <v>511</v>
      </c>
      <c r="X18" s="25">
        <v>569</v>
      </c>
      <c r="Y18" s="25">
        <v>566</v>
      </c>
      <c r="Z18" s="25">
        <v>449</v>
      </c>
      <c r="AA18" s="25">
        <v>606</v>
      </c>
      <c r="AB18" s="25">
        <v>492</v>
      </c>
      <c r="AC18" s="25">
        <v>618</v>
      </c>
      <c r="AD18" s="25">
        <v>347</v>
      </c>
      <c r="AE18" s="25">
        <v>347</v>
      </c>
      <c r="AF18" s="25">
        <v>638</v>
      </c>
      <c r="AG18" s="25">
        <v>618</v>
      </c>
    </row>
    <row r="19" spans="1:33">
      <c r="A19" s="5" t="s">
        <v>71</v>
      </c>
      <c r="B19" s="27">
        <v>5.0849999999999995E-10</v>
      </c>
      <c r="C19" s="24">
        <v>5.3650000000000006E-10</v>
      </c>
      <c r="D19" s="24">
        <v>6.1150000000000001E-10</v>
      </c>
      <c r="E19" s="24">
        <v>6.9499999999999998E-10</v>
      </c>
      <c r="F19" s="24">
        <v>2.7200000000000004E-10</v>
      </c>
      <c r="G19" s="24">
        <v>2.6050000000000003E-10</v>
      </c>
      <c r="H19" s="24">
        <v>3.0249999999999999E-10</v>
      </c>
      <c r="I19" s="24">
        <v>2.7599999999999998E-10</v>
      </c>
      <c r="J19" s="24">
        <v>4.5300000000000004E-10</v>
      </c>
      <c r="K19" s="24">
        <v>3.1299999999999995E-10</v>
      </c>
      <c r="L19" s="24">
        <v>3.8750000000000006E-10</v>
      </c>
      <c r="M19" s="24">
        <v>2.1099999999999997E-10</v>
      </c>
      <c r="N19" s="24">
        <v>6.6250000000000004E-10</v>
      </c>
      <c r="O19" s="24">
        <v>6.3200000000000009E-10</v>
      </c>
      <c r="P19" s="24">
        <v>6.4700000000000004E-10</v>
      </c>
      <c r="Q19" s="24">
        <v>6.8950000000000005E-10</v>
      </c>
      <c r="R19" s="24">
        <v>3.4200000000000001E-10</v>
      </c>
      <c r="S19" s="24">
        <v>4.4249999999999997E-10</v>
      </c>
      <c r="T19" s="24">
        <v>3.2300000000000002E-10</v>
      </c>
      <c r="U19" s="24">
        <v>4.6200000000000001E-10</v>
      </c>
      <c r="V19" s="24">
        <v>3.8150000000000003E-10</v>
      </c>
      <c r="W19" s="24">
        <v>2.5549999999999994E-10</v>
      </c>
      <c r="X19" s="24">
        <v>2.845E-10</v>
      </c>
      <c r="Y19" s="24">
        <v>2.8300000000000001E-10</v>
      </c>
      <c r="Z19" s="24">
        <v>2.245E-10</v>
      </c>
      <c r="AA19" s="24">
        <v>3.0299999999999999E-10</v>
      </c>
      <c r="AB19" s="24">
        <v>2.4599999999999998E-10</v>
      </c>
      <c r="AC19" s="24">
        <v>3.0900000000000002E-10</v>
      </c>
      <c r="AD19" s="24">
        <v>1.735E-10</v>
      </c>
      <c r="AE19" s="24">
        <v>1.735E-10</v>
      </c>
      <c r="AF19" s="24">
        <v>3.1900000000000004E-10</v>
      </c>
      <c r="AG19" s="24">
        <v>3.0900000000000002E-10</v>
      </c>
    </row>
    <row r="20" spans="1:33">
      <c r="A20" s="5" t="s">
        <v>72</v>
      </c>
      <c r="B20" s="27">
        <f>SUM(B9:B14)/B15*B19</f>
        <v>1.1396645648147122E-10</v>
      </c>
      <c r="C20" s="27">
        <f t="shared" ref="C20:AG20" si="6">SUM(C9:C14)/C15*C19</f>
        <v>1.0501871474831797E-10</v>
      </c>
      <c r="D20" s="27">
        <f t="shared" si="6"/>
        <v>5.1425819693406418E-11</v>
      </c>
      <c r="E20" s="27">
        <f t="shared" si="6"/>
        <v>1.1297406780228858E-10</v>
      </c>
      <c r="F20" s="27">
        <f t="shared" si="6"/>
        <v>1.6602073708726095E-10</v>
      </c>
      <c r="G20" s="27">
        <f t="shared" si="6"/>
        <v>1.8046570504578847E-10</v>
      </c>
      <c r="H20" s="27">
        <f t="shared" si="6"/>
        <v>1.4534013392139334E-10</v>
      </c>
      <c r="I20" s="27">
        <f t="shared" si="6"/>
        <v>6.5843954685998263E-11</v>
      </c>
      <c r="J20" s="27">
        <f t="shared" si="6"/>
        <v>2.7921991802791136E-10</v>
      </c>
      <c r="K20" s="27">
        <f t="shared" si="6"/>
        <v>1.1002918196013618E-10</v>
      </c>
      <c r="L20" s="27">
        <f t="shared" si="6"/>
        <v>1.1687502944754771E-10</v>
      </c>
      <c r="M20" s="27">
        <f t="shared" si="6"/>
        <v>5.5928663070232195E-11</v>
      </c>
      <c r="N20" s="27">
        <f t="shared" si="6"/>
        <v>1.4940948184626055E-10</v>
      </c>
      <c r="O20" s="27">
        <f t="shared" si="6"/>
        <v>1.7679083564498138E-10</v>
      </c>
      <c r="P20" s="27">
        <f t="shared" si="6"/>
        <v>2.0440163890014134E-10</v>
      </c>
      <c r="Q20" s="27">
        <f t="shared" si="6"/>
        <v>1.8503803141535724E-10</v>
      </c>
      <c r="R20" s="27">
        <f t="shared" si="6"/>
        <v>1.5916437594565055E-10</v>
      </c>
      <c r="S20" s="27">
        <f t="shared" si="6"/>
        <v>1.9667510396600324E-10</v>
      </c>
      <c r="T20" s="27">
        <f t="shared" si="6"/>
        <v>2.1964745941094896E-10</v>
      </c>
      <c r="U20" s="27">
        <f t="shared" si="6"/>
        <v>1.3629458938251709E-10</v>
      </c>
      <c r="V20" s="27">
        <f t="shared" si="6"/>
        <v>1.8904927852450165E-10</v>
      </c>
      <c r="W20" s="27">
        <f t="shared" si="6"/>
        <v>1.289990608367271E-10</v>
      </c>
      <c r="X20" s="27">
        <f t="shared" si="6"/>
        <v>1.3925175769060571E-10</v>
      </c>
      <c r="Y20" s="27">
        <f t="shared" si="6"/>
        <v>1.3709436645595942E-10</v>
      </c>
      <c r="Z20" s="27">
        <f t="shared" si="6"/>
        <v>1.1134234215326435E-10</v>
      </c>
      <c r="AA20" s="27">
        <f t="shared" si="6"/>
        <v>1.3992805472967055E-10</v>
      </c>
      <c r="AB20" s="27">
        <f t="shared" si="6"/>
        <v>1.0381670928849093E-10</v>
      </c>
      <c r="AC20" s="27">
        <f t="shared" si="6"/>
        <v>1.2245300138375883E-10</v>
      </c>
      <c r="AD20" s="27">
        <f t="shared" si="6"/>
        <v>6.8122653584528659E-11</v>
      </c>
      <c r="AE20" s="27">
        <f t="shared" si="6"/>
        <v>6.8438112086932088E-11</v>
      </c>
      <c r="AF20" s="27">
        <f t="shared" si="6"/>
        <v>1.3673737850055442E-10</v>
      </c>
      <c r="AG20" s="27">
        <f t="shared" si="6"/>
        <v>1.6008146373093285E-10</v>
      </c>
    </row>
    <row r="21" spans="1:33">
      <c r="A21" s="5" t="s">
        <v>73</v>
      </c>
      <c r="B21" s="27">
        <f>B20/B17*10^6</f>
        <v>2.2412282493897981E-10</v>
      </c>
      <c r="C21" s="27">
        <f t="shared" ref="C21:AG21" si="7">C20/C17*10^6</f>
        <v>1.9578433025413493E-10</v>
      </c>
      <c r="D21" s="27">
        <f t="shared" si="7"/>
        <v>8.4128091371231551E-11</v>
      </c>
      <c r="E21" s="27">
        <f t="shared" si="7"/>
        <v>1.6251520197118442E-10</v>
      </c>
      <c r="F21" s="27">
        <f t="shared" si="7"/>
        <v>6.0992188496422105E-10</v>
      </c>
      <c r="G21" s="27">
        <f t="shared" si="7"/>
        <v>6.9281981359716092E-10</v>
      </c>
      <c r="H21" s="27">
        <f t="shared" si="7"/>
        <v>4.8062213598344355E-10</v>
      </c>
      <c r="I21" s="27">
        <f t="shared" si="7"/>
        <v>2.384354687162711E-10</v>
      </c>
      <c r="J21" s="27">
        <f t="shared" si="7"/>
        <v>6.1671986312073192E-10</v>
      </c>
      <c r="K21" s="27">
        <f t="shared" si="7"/>
        <v>3.5164327887547517E-10</v>
      </c>
      <c r="L21" s="27">
        <f t="shared" si="7"/>
        <v>3.0145738830938279E-10</v>
      </c>
      <c r="M21" s="27">
        <f t="shared" si="7"/>
        <v>2.6537918420039E-10</v>
      </c>
      <c r="N21" s="27">
        <f t="shared" si="7"/>
        <v>2.2555779264230154E-10</v>
      </c>
      <c r="O21" s="27">
        <f t="shared" si="7"/>
        <v>2.7968808043819233E-10</v>
      </c>
      <c r="P21" s="27">
        <f t="shared" si="7"/>
        <v>3.1601984987653271E-10</v>
      </c>
      <c r="Q21" s="27">
        <f t="shared" si="7"/>
        <v>2.6828770685132267E-10</v>
      </c>
      <c r="R21" s="27">
        <f t="shared" si="7"/>
        <v>4.6539291212178519E-10</v>
      </c>
      <c r="S21" s="27">
        <f t="shared" si="7"/>
        <v>4.4446351178757794E-10</v>
      </c>
      <c r="T21" s="27">
        <f t="shared" si="7"/>
        <v>6.8023369281805187E-10</v>
      </c>
      <c r="U21" s="27">
        <f t="shared" si="7"/>
        <v>2.9504186466612641E-10</v>
      </c>
      <c r="V21" s="27">
        <f t="shared" si="7"/>
        <v>4.9580193685943256E-10</v>
      </c>
      <c r="W21" s="27">
        <f t="shared" si="7"/>
        <v>5.0538319622615912E-10</v>
      </c>
      <c r="X21" s="27">
        <f t="shared" si="7"/>
        <v>4.894613627086316E-10</v>
      </c>
      <c r="Y21" s="27">
        <f t="shared" si="7"/>
        <v>4.8468929275573427E-10</v>
      </c>
      <c r="Z21" s="27">
        <f t="shared" si="7"/>
        <v>4.9639920710327394E-10</v>
      </c>
      <c r="AA21" s="27">
        <f t="shared" si="7"/>
        <v>4.6196122393420451E-10</v>
      </c>
      <c r="AB21" s="27">
        <f t="shared" si="7"/>
        <v>4.2236252761794517E-10</v>
      </c>
      <c r="AC21" s="27">
        <f t="shared" si="7"/>
        <v>3.964163204394912E-10</v>
      </c>
      <c r="AD21" s="27">
        <f t="shared" si="7"/>
        <v>3.9209990666710023E-10</v>
      </c>
      <c r="AE21" s="27">
        <f t="shared" si="7"/>
        <v>3.939156205719652E-10</v>
      </c>
      <c r="AF21" s="27">
        <f t="shared" si="7"/>
        <v>4.2867741515966584E-10</v>
      </c>
      <c r="AG21" s="27">
        <f t="shared" si="7"/>
        <v>5.181887633921918E-10</v>
      </c>
    </row>
    <row r="22" spans="1:33">
      <c r="A22" s="5" t="s">
        <v>74</v>
      </c>
      <c r="B22" s="28">
        <f>B21*10^12</f>
        <v>224.12282493897982</v>
      </c>
      <c r="C22" s="28">
        <f t="shared" ref="C22:AG22" si="8">C21*10^12</f>
        <v>195.78433025413494</v>
      </c>
      <c r="D22" s="28">
        <f t="shared" si="8"/>
        <v>84.128091371231548</v>
      </c>
      <c r="E22" s="28">
        <f t="shared" si="8"/>
        <v>162.51520197118441</v>
      </c>
      <c r="F22" s="28">
        <f t="shared" si="8"/>
        <v>609.92188496422102</v>
      </c>
      <c r="G22" s="28">
        <f t="shared" si="8"/>
        <v>692.81981359716087</v>
      </c>
      <c r="H22" s="28">
        <f t="shared" si="8"/>
        <v>480.62213598344357</v>
      </c>
      <c r="I22" s="28">
        <f t="shared" si="8"/>
        <v>238.43546871627109</v>
      </c>
      <c r="J22" s="28">
        <f t="shared" si="8"/>
        <v>616.71986312073193</v>
      </c>
      <c r="K22" s="28">
        <f t="shared" si="8"/>
        <v>351.64327887547518</v>
      </c>
      <c r="L22" s="28">
        <f t="shared" si="8"/>
        <v>301.45738830938279</v>
      </c>
      <c r="M22" s="28">
        <f t="shared" si="8"/>
        <v>265.37918420039</v>
      </c>
      <c r="N22" s="28">
        <f t="shared" si="8"/>
        <v>225.55779264230154</v>
      </c>
      <c r="O22" s="28">
        <f t="shared" si="8"/>
        <v>279.68808043819234</v>
      </c>
      <c r="P22" s="28">
        <f t="shared" si="8"/>
        <v>316.0198498765327</v>
      </c>
      <c r="Q22" s="28">
        <f t="shared" si="8"/>
        <v>268.2877068513227</v>
      </c>
      <c r="R22" s="28">
        <f t="shared" si="8"/>
        <v>465.39291212178517</v>
      </c>
      <c r="S22" s="28">
        <f t="shared" si="8"/>
        <v>444.46351178757794</v>
      </c>
      <c r="T22" s="28">
        <f t="shared" si="8"/>
        <v>680.23369281805185</v>
      </c>
      <c r="U22" s="28">
        <f t="shared" si="8"/>
        <v>295.0418646661264</v>
      </c>
      <c r="V22" s="28">
        <f t="shared" si="8"/>
        <v>495.80193685943254</v>
      </c>
      <c r="W22" s="28">
        <f t="shared" si="8"/>
        <v>505.3831962261591</v>
      </c>
      <c r="X22" s="28">
        <f t="shared" si="8"/>
        <v>489.46136270863161</v>
      </c>
      <c r="Y22" s="28">
        <f t="shared" si="8"/>
        <v>484.68929275573424</v>
      </c>
      <c r="Z22" s="28">
        <f t="shared" si="8"/>
        <v>496.39920710327397</v>
      </c>
      <c r="AA22" s="28">
        <f t="shared" si="8"/>
        <v>461.9612239342045</v>
      </c>
      <c r="AB22" s="28">
        <f t="shared" si="8"/>
        <v>422.36252761794515</v>
      </c>
      <c r="AC22" s="28">
        <f t="shared" si="8"/>
        <v>396.41632043949119</v>
      </c>
      <c r="AD22" s="28">
        <f t="shared" si="8"/>
        <v>392.09990666710024</v>
      </c>
      <c r="AE22" s="28">
        <f t="shared" si="8"/>
        <v>393.91562057196518</v>
      </c>
      <c r="AF22" s="28">
        <f t="shared" si="8"/>
        <v>428.67741515966583</v>
      </c>
      <c r="AG22" s="28">
        <f t="shared" si="8"/>
        <v>518.18876339219185</v>
      </c>
    </row>
  </sheetData>
  <mergeCells count="2">
    <mergeCell ref="B1:AG1"/>
    <mergeCell ref="AH1:BM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B</vt:lpstr>
      <vt:lpstr>C</vt:lpstr>
      <vt:lpstr>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Julie Trolle</dc:creator>
  <cp:lastModifiedBy>Julie Trolle</cp:lastModifiedBy>
  <dcterms:created xsi:type="dcterms:W3CDTF">2022-07-29T18:22:12Z</dcterms:created>
  <dcterms:modified xsi:type="dcterms:W3CDTF">2022-07-29T19:29:32Z</dcterms:modified>
</cp:coreProperties>
</file>